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gendas\LTC Full Council\190122\Finance Papers\"/>
    </mc:Choice>
  </mc:AlternateContent>
  <bookViews>
    <workbookView xWindow="0" yWindow="0" windowWidth="8508" windowHeight="6204" tabRatio="815"/>
  </bookViews>
  <sheets>
    <sheet name="CTax Options" sheetId="33" r:id="rId1"/>
    <sheet name="Summary" sheetId="1" r:id="rId2"/>
    <sheet name="Arts, Heritage and Museums" sheetId="3" r:id="rId3"/>
    <sheet name="Caravan and Camping" sheetId="4" r:id="rId4"/>
    <sheet name="CCTV" sheetId="5" r:id="rId5"/>
    <sheet name="Events, Grants and Civic" sheetId="6" r:id="rId6"/>
    <sheet name="Marina Theatre" sheetId="7" r:id="rId7"/>
    <sheet name="Allotments, Open Spaces &amp; EofE" sheetId="8" r:id="rId8"/>
    <sheet name="Sparrows Nest" sheetId="9" r:id="rId9"/>
    <sheet name="Belle Vue Park" sheetId="10" r:id="rId10"/>
    <sheet name="Kensington Gardens" sheetId="11" r:id="rId11"/>
    <sheet name="Kensington Gardens PC" sheetId="18" r:id="rId12"/>
    <sheet name="Play Areas" sheetId="12" r:id="rId13"/>
    <sheet name="Fen Park" sheetId="32" r:id="rId14"/>
    <sheet name="Denes Oval" sheetId="13" r:id="rId15"/>
    <sheet name="Normanston Park" sheetId="14" r:id="rId16"/>
    <sheet name="Triangle Market" sheetId="15" r:id="rId17"/>
    <sheet name="Triangle Market PC" sheetId="17" r:id="rId18"/>
    <sheet name="Pakefield Street PC" sheetId="16" r:id="rId19"/>
    <sheet name="Kirkley Cliff Road PC" sheetId="19" r:id="rId20"/>
    <sheet name="Lowestoft Cemetery PC" sheetId="20" r:id="rId21"/>
    <sheet name="Fen Park PC" sheetId="21" r:id="rId22"/>
    <sheet name="Miscellaneous" sheetId="22" r:id="rId23"/>
    <sheet name="Capital Works" sheetId="34" r:id="rId24"/>
    <sheet name="Offices" sheetId="23" r:id="rId25"/>
    <sheet name="Town Hall" sheetId="24" r:id="rId26"/>
    <sheet name="Admininstration" sheetId="25" r:id="rId27"/>
    <sheet name="Elections and fixed costs" sheetId="31" r:id="rId28"/>
    <sheet name="Staff, Training and CPD" sheetId="26" r:id="rId29"/>
  </sheets>
  <definedNames>
    <definedName name="RPI">Summary!$D$35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I18" i="24" l="1"/>
  <c r="H8" i="3"/>
  <c r="I9" i="34" l="1"/>
  <c r="N26" i="33" l="1"/>
  <c r="N9" i="34"/>
  <c r="M9" i="34"/>
  <c r="L9" i="34"/>
  <c r="J13" i="34"/>
  <c r="H9" i="34"/>
  <c r="H11" i="34" s="1"/>
  <c r="G9" i="34"/>
  <c r="G11" i="34" s="1"/>
  <c r="F9" i="34"/>
  <c r="F11" i="34" s="1"/>
  <c r="E9" i="34"/>
  <c r="E11" i="34" s="1"/>
  <c r="D9" i="34"/>
  <c r="D11" i="34" s="1"/>
  <c r="C9" i="34"/>
  <c r="C11" i="34" s="1"/>
  <c r="C15" i="34" s="1"/>
  <c r="C27" i="1" s="1"/>
  <c r="F15" i="34" l="1"/>
  <c r="F27" i="1" s="1"/>
  <c r="D15" i="34"/>
  <c r="D27" i="1" s="1"/>
  <c r="G15" i="34"/>
  <c r="G27" i="1" s="1"/>
  <c r="J9" i="34"/>
  <c r="H15" i="34"/>
  <c r="H27" i="1" s="1"/>
  <c r="E15" i="34"/>
  <c r="E27" i="1" s="1"/>
  <c r="L11" i="34" l="1"/>
  <c r="L15" i="34" s="1"/>
  <c r="K27" i="1" s="1"/>
  <c r="I11" i="34"/>
  <c r="E26" i="33"/>
  <c r="J11" i="34" l="1"/>
  <c r="I15" i="34"/>
  <c r="M11" i="34"/>
  <c r="M15" i="34" s="1"/>
  <c r="L27" i="1" s="1"/>
  <c r="I13" i="26"/>
  <c r="J15" i="34" l="1"/>
  <c r="I27" i="1"/>
  <c r="N11" i="34"/>
  <c r="N15" i="34" s="1"/>
  <c r="M27" i="1" s="1"/>
  <c r="I17" i="25"/>
  <c r="I7" i="25"/>
  <c r="I9" i="23"/>
  <c r="I27" i="22"/>
  <c r="I15" i="14"/>
  <c r="I17" i="13"/>
  <c r="I8" i="12"/>
  <c r="I17" i="11"/>
  <c r="I18" i="9"/>
  <c r="I20" i="8"/>
  <c r="I14" i="6"/>
  <c r="I11" i="6"/>
  <c r="I10" i="6"/>
  <c r="I7" i="6"/>
  <c r="I6" i="6"/>
  <c r="I14" i="26" l="1"/>
  <c r="L14" i="26" s="1"/>
  <c r="M14" i="26" s="1"/>
  <c r="L28" i="12" l="1"/>
  <c r="M28" i="12" s="1"/>
  <c r="N28" i="12" s="1"/>
  <c r="J28" i="12"/>
  <c r="L12" i="22"/>
  <c r="M12" i="22" s="1"/>
  <c r="N12" i="22" s="1"/>
  <c r="L11" i="22"/>
  <c r="M11" i="22" s="1"/>
  <c r="N11" i="22" s="1"/>
  <c r="L10" i="22"/>
  <c r="M10" i="22" s="1"/>
  <c r="N10" i="22" s="1"/>
  <c r="G20" i="22"/>
  <c r="F20" i="22"/>
  <c r="E20" i="22"/>
  <c r="D20" i="22"/>
  <c r="C20" i="22"/>
  <c r="I13" i="22"/>
  <c r="L10" i="8"/>
  <c r="M10" i="8" s="1"/>
  <c r="N10" i="8" s="1"/>
  <c r="N13" i="22" l="1"/>
  <c r="L13" i="22"/>
  <c r="M13" i="22"/>
  <c r="I6" i="22"/>
  <c r="I6" i="10"/>
  <c r="I6" i="3"/>
  <c r="L7" i="25" l="1"/>
  <c r="F28" i="1" l="1"/>
  <c r="H7" i="25" l="1"/>
  <c r="H14" i="26"/>
  <c r="H9" i="31"/>
  <c r="H8" i="31"/>
  <c r="H5" i="31"/>
  <c r="H14" i="25"/>
  <c r="H13" i="25"/>
  <c r="H8" i="25" l="1"/>
  <c r="H9" i="25"/>
  <c r="H10" i="23"/>
  <c r="H8" i="23"/>
  <c r="H7" i="23"/>
  <c r="H11" i="23"/>
  <c r="H15" i="22"/>
  <c r="H19" i="22"/>
  <c r="H18" i="22"/>
  <c r="H13" i="20"/>
  <c r="H13" i="19"/>
  <c r="H10" i="17"/>
  <c r="H12" i="16"/>
  <c r="H9" i="16"/>
  <c r="H6" i="16"/>
  <c r="H12" i="14"/>
  <c r="H6" i="14"/>
  <c r="H14" i="13"/>
  <c r="H6" i="13"/>
  <c r="H29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14" i="12"/>
  <c r="H13" i="12"/>
  <c r="H12" i="12"/>
  <c r="H11" i="12"/>
  <c r="H9" i="18"/>
  <c r="H12" i="18"/>
  <c r="H7" i="18"/>
  <c r="H6" i="18"/>
  <c r="H13" i="11"/>
  <c r="H6" i="11"/>
  <c r="H10" i="10"/>
  <c r="H14" i="9"/>
  <c r="H13" i="9"/>
  <c r="H6" i="9"/>
  <c r="H18" i="8"/>
  <c r="H17" i="8"/>
  <c r="H16" i="8"/>
  <c r="H15" i="8"/>
  <c r="H14" i="8"/>
  <c r="H13" i="8"/>
  <c r="H14" i="6"/>
  <c r="H16" i="5"/>
  <c r="H20" i="22" l="1"/>
  <c r="D17" i="33"/>
  <c r="E16" i="33" s="1"/>
  <c r="G29" i="33"/>
  <c r="H29" i="33" s="1"/>
  <c r="I29" i="33" s="1"/>
  <c r="H11" i="26"/>
  <c r="G11" i="26"/>
  <c r="F11" i="26"/>
  <c r="E11" i="26"/>
  <c r="C11" i="26"/>
  <c r="L10" i="26"/>
  <c r="M10" i="26" s="1"/>
  <c r="N10" i="26" s="1"/>
  <c r="L7" i="15"/>
  <c r="M7" i="15" s="1"/>
  <c r="N7" i="15" s="1"/>
  <c r="I8" i="15"/>
  <c r="L8" i="15" s="1"/>
  <c r="M8" i="15" s="1"/>
  <c r="N8" i="15" s="1"/>
  <c r="L6" i="15"/>
  <c r="M6" i="15" s="1"/>
  <c r="N6" i="15" s="1"/>
  <c r="I8" i="32"/>
  <c r="I6" i="32"/>
  <c r="H18" i="13"/>
  <c r="G18" i="13"/>
  <c r="F18" i="13"/>
  <c r="E18" i="13"/>
  <c r="D18" i="13"/>
  <c r="C18" i="13"/>
  <c r="J5" i="31" l="1"/>
  <c r="J6" i="31"/>
  <c r="D32" i="22" l="1"/>
  <c r="N46" i="22"/>
  <c r="M46" i="22"/>
  <c r="L46" i="22"/>
  <c r="I46" i="22"/>
  <c r="H46" i="22"/>
  <c r="G46" i="22"/>
  <c r="F46" i="22"/>
  <c r="E46" i="22"/>
  <c r="D46" i="22"/>
  <c r="C46" i="22"/>
  <c r="J32" i="22"/>
  <c r="J10" i="26"/>
  <c r="J15" i="31"/>
  <c r="J14" i="31"/>
  <c r="J13" i="31"/>
  <c r="J9" i="31"/>
  <c r="J8" i="31"/>
  <c r="J7" i="31"/>
  <c r="J17" i="25"/>
  <c r="J15" i="25"/>
  <c r="J14" i="25"/>
  <c r="J13" i="25"/>
  <c r="J8" i="25"/>
  <c r="J7" i="25"/>
  <c r="J6" i="25"/>
  <c r="J18" i="24"/>
  <c r="J15" i="24"/>
  <c r="J6" i="24"/>
  <c r="J16" i="23"/>
  <c r="J15" i="23"/>
  <c r="J14" i="23"/>
  <c r="J10" i="23"/>
  <c r="J9" i="23"/>
  <c r="J8" i="23"/>
  <c r="J7" i="23"/>
  <c r="J38" i="22"/>
  <c r="J37" i="22"/>
  <c r="J27" i="22"/>
  <c r="J7" i="15"/>
  <c r="J21" i="14"/>
  <c r="J8" i="12"/>
  <c r="J22" i="11"/>
  <c r="J17" i="10"/>
  <c r="J16" i="10"/>
  <c r="J24" i="9"/>
  <c r="J6" i="9"/>
  <c r="J26" i="8"/>
  <c r="J25" i="8"/>
  <c r="J20" i="8"/>
  <c r="J9" i="8"/>
  <c r="J6" i="8"/>
  <c r="J21" i="7"/>
  <c r="J13" i="7"/>
  <c r="J12" i="7"/>
  <c r="J8" i="7"/>
  <c r="J7" i="7"/>
  <c r="J14" i="6"/>
  <c r="J11" i="6"/>
  <c r="J10" i="6"/>
  <c r="J7" i="6"/>
  <c r="J6" i="6"/>
  <c r="J13" i="5"/>
  <c r="J13" i="4"/>
  <c r="J12" i="4"/>
  <c r="J8" i="3"/>
  <c r="J7" i="3"/>
  <c r="J46" i="22" l="1"/>
  <c r="N19" i="26"/>
  <c r="M19" i="26"/>
  <c r="L19" i="26"/>
  <c r="I19" i="26"/>
  <c r="H19" i="26"/>
  <c r="G19" i="26"/>
  <c r="F19" i="26"/>
  <c r="E19" i="26"/>
  <c r="D19" i="26"/>
  <c r="C19" i="26"/>
  <c r="F17" i="26"/>
  <c r="F21" i="26" s="1"/>
  <c r="H15" i="26"/>
  <c r="G15" i="26"/>
  <c r="F15" i="26"/>
  <c r="E15" i="26"/>
  <c r="D15" i="26"/>
  <c r="C15" i="26"/>
  <c r="J13" i="26"/>
  <c r="H17" i="26"/>
  <c r="E17" i="26"/>
  <c r="D11" i="26"/>
  <c r="D17" i="26" s="1"/>
  <c r="C17" i="26"/>
  <c r="I9" i="26"/>
  <c r="J9" i="26" s="1"/>
  <c r="I8" i="26"/>
  <c r="I7" i="26"/>
  <c r="J7" i="26" s="1"/>
  <c r="I6" i="26"/>
  <c r="F21" i="31"/>
  <c r="F31" i="1" s="1"/>
  <c r="N19" i="31"/>
  <c r="M19" i="31"/>
  <c r="L19" i="31"/>
  <c r="I19" i="31"/>
  <c r="H19" i="31"/>
  <c r="G19" i="31"/>
  <c r="F19" i="31"/>
  <c r="E19" i="31"/>
  <c r="D19" i="31"/>
  <c r="D21" i="31" s="1"/>
  <c r="C19" i="31"/>
  <c r="C21" i="31" s="1"/>
  <c r="F17" i="31"/>
  <c r="D17" i="31"/>
  <c r="C17" i="31"/>
  <c r="I15" i="31"/>
  <c r="H15" i="31"/>
  <c r="G15" i="31"/>
  <c r="F15" i="31"/>
  <c r="E15" i="31"/>
  <c r="E17" i="31" s="1"/>
  <c r="E21" i="31" s="1"/>
  <c r="D15" i="31"/>
  <c r="C15" i="31"/>
  <c r="L14" i="31"/>
  <c r="L13" i="31"/>
  <c r="M13" i="31" s="1"/>
  <c r="N13" i="31" s="1"/>
  <c r="H11" i="31"/>
  <c r="H17" i="31" s="1"/>
  <c r="G11" i="31"/>
  <c r="G17" i="31" s="1"/>
  <c r="G21" i="31" s="1"/>
  <c r="F11" i="31"/>
  <c r="E11" i="31"/>
  <c r="D11" i="31"/>
  <c r="C11" i="31"/>
  <c r="I10" i="31"/>
  <c r="J10" i="31" s="1"/>
  <c r="L9" i="31"/>
  <c r="M9" i="31" s="1"/>
  <c r="N9" i="31" s="1"/>
  <c r="M8" i="31"/>
  <c r="N8" i="31" s="1"/>
  <c r="L7" i="31"/>
  <c r="L5" i="31"/>
  <c r="M5" i="31" s="1"/>
  <c r="N5" i="31" s="1"/>
  <c r="G24" i="25"/>
  <c r="N22" i="25"/>
  <c r="M22" i="25"/>
  <c r="L22" i="25"/>
  <c r="I22" i="25"/>
  <c r="H22" i="25"/>
  <c r="F22" i="25"/>
  <c r="D22" i="25"/>
  <c r="C22" i="25"/>
  <c r="C24" i="25" s="1"/>
  <c r="C20" i="25"/>
  <c r="N18" i="25"/>
  <c r="M18" i="25"/>
  <c r="L18" i="25"/>
  <c r="K18" i="25"/>
  <c r="I18" i="25"/>
  <c r="J18" i="25" s="1"/>
  <c r="H18" i="25"/>
  <c r="G18" i="25"/>
  <c r="F18" i="25"/>
  <c r="E18" i="25"/>
  <c r="D18" i="25"/>
  <c r="C18" i="25"/>
  <c r="I15" i="25"/>
  <c r="H15" i="25"/>
  <c r="G15" i="25"/>
  <c r="G20" i="25" s="1"/>
  <c r="F15" i="25"/>
  <c r="E15" i="25"/>
  <c r="D15" i="25"/>
  <c r="C15" i="25"/>
  <c r="L14" i="25"/>
  <c r="M14" i="25" s="1"/>
  <c r="N14" i="25" s="1"/>
  <c r="L13" i="25"/>
  <c r="M13" i="25" s="1"/>
  <c r="I11" i="25"/>
  <c r="J11" i="25" s="1"/>
  <c r="H11" i="25"/>
  <c r="G11" i="25"/>
  <c r="F11" i="25"/>
  <c r="E11" i="25"/>
  <c r="D11" i="25"/>
  <c r="C11" i="25"/>
  <c r="L8" i="25"/>
  <c r="M8" i="25" s="1"/>
  <c r="N8" i="25" s="1"/>
  <c r="M7" i="25"/>
  <c r="N7" i="25" s="1"/>
  <c r="D7" i="25"/>
  <c r="D20" i="25" s="1"/>
  <c r="L6" i="25"/>
  <c r="N30" i="24"/>
  <c r="M30" i="24"/>
  <c r="L30" i="24"/>
  <c r="I30" i="24"/>
  <c r="H30" i="24"/>
  <c r="G30" i="24"/>
  <c r="G32" i="24" s="1"/>
  <c r="F30" i="24"/>
  <c r="E30" i="24"/>
  <c r="D30" i="24"/>
  <c r="C30" i="24"/>
  <c r="G28" i="24"/>
  <c r="N26" i="24"/>
  <c r="M26" i="24"/>
  <c r="L26" i="24"/>
  <c r="I26" i="24"/>
  <c r="G26" i="24"/>
  <c r="E26" i="24"/>
  <c r="D26" i="24"/>
  <c r="C26" i="24"/>
  <c r="C28" i="24" s="1"/>
  <c r="C32" i="24" s="1"/>
  <c r="C29" i="1" s="1"/>
  <c r="H18" i="24"/>
  <c r="G18" i="24"/>
  <c r="F18" i="24"/>
  <c r="E18" i="24"/>
  <c r="D18" i="24"/>
  <c r="C18" i="24"/>
  <c r="L17" i="24"/>
  <c r="M17" i="24" s="1"/>
  <c r="N17" i="24" s="1"/>
  <c r="L16" i="24"/>
  <c r="M16" i="24" s="1"/>
  <c r="N16" i="24" s="1"/>
  <c r="L15" i="24"/>
  <c r="K13" i="24"/>
  <c r="H13" i="24"/>
  <c r="H28" i="24" s="1"/>
  <c r="H32" i="24" s="1"/>
  <c r="G13" i="24"/>
  <c r="F13" i="24"/>
  <c r="F28" i="24" s="1"/>
  <c r="F32" i="24" s="1"/>
  <c r="E13" i="24"/>
  <c r="D13" i="24"/>
  <c r="D28" i="24" s="1"/>
  <c r="D32" i="24" s="1"/>
  <c r="C13" i="24"/>
  <c r="I8" i="24"/>
  <c r="J8" i="24" s="1"/>
  <c r="I7" i="24"/>
  <c r="H21" i="23"/>
  <c r="G21" i="23"/>
  <c r="F21" i="23"/>
  <c r="E21" i="23"/>
  <c r="D21" i="23"/>
  <c r="C21" i="23"/>
  <c r="C23" i="23" s="1"/>
  <c r="C28" i="1" s="1"/>
  <c r="I20" i="23"/>
  <c r="I21" i="23" s="1"/>
  <c r="J21" i="23" s="1"/>
  <c r="N16" i="23"/>
  <c r="M16" i="23"/>
  <c r="L16" i="23"/>
  <c r="I16" i="23"/>
  <c r="H16" i="23"/>
  <c r="G16" i="23"/>
  <c r="F16" i="23"/>
  <c r="E16" i="23"/>
  <c r="D16" i="23"/>
  <c r="C16" i="23"/>
  <c r="H12" i="23"/>
  <c r="H18" i="23" s="1"/>
  <c r="H23" i="23" s="1"/>
  <c r="H28" i="1" s="1"/>
  <c r="G12" i="23"/>
  <c r="G18" i="23" s="1"/>
  <c r="F12" i="23"/>
  <c r="F18" i="23" s="1"/>
  <c r="F23" i="23" s="1"/>
  <c r="E12" i="23"/>
  <c r="E18" i="23" s="1"/>
  <c r="D12" i="23"/>
  <c r="D18" i="23" s="1"/>
  <c r="D23" i="23" s="1"/>
  <c r="D28" i="1" s="1"/>
  <c r="C12" i="23"/>
  <c r="C18" i="23" s="1"/>
  <c r="M11" i="23"/>
  <c r="N11" i="23" s="1"/>
  <c r="L11" i="23"/>
  <c r="L10" i="23"/>
  <c r="M10" i="23" s="1"/>
  <c r="N10" i="23" s="1"/>
  <c r="L9" i="23"/>
  <c r="M9" i="23" s="1"/>
  <c r="N9" i="23" s="1"/>
  <c r="L8" i="23"/>
  <c r="M8" i="23" s="1"/>
  <c r="N8" i="23" s="1"/>
  <c r="I8" i="23"/>
  <c r="M7" i="23"/>
  <c r="N7" i="23" s="1"/>
  <c r="L7" i="23"/>
  <c r="L6" i="23"/>
  <c r="N28" i="22"/>
  <c r="M28" i="22"/>
  <c r="L28" i="22"/>
  <c r="I28" i="22"/>
  <c r="H28" i="22"/>
  <c r="G28" i="22"/>
  <c r="F28" i="22"/>
  <c r="E28" i="22"/>
  <c r="D28" i="22"/>
  <c r="C28" i="22"/>
  <c r="H25" i="22"/>
  <c r="G25" i="22"/>
  <c r="F25" i="22"/>
  <c r="E25" i="22"/>
  <c r="D25" i="22"/>
  <c r="C25" i="22"/>
  <c r="I24" i="22"/>
  <c r="J24" i="22" s="1"/>
  <c r="I23" i="22"/>
  <c r="J23" i="22" s="1"/>
  <c r="L18" i="22"/>
  <c r="M18" i="22" s="1"/>
  <c r="N18" i="22" s="1"/>
  <c r="I16" i="22"/>
  <c r="J15" i="22"/>
  <c r="H8" i="22"/>
  <c r="G8" i="22"/>
  <c r="F8" i="22"/>
  <c r="F34" i="22" s="1"/>
  <c r="E8" i="22"/>
  <c r="D8" i="22"/>
  <c r="C8" i="22"/>
  <c r="I7" i="22"/>
  <c r="J7" i="22" s="1"/>
  <c r="I13" i="21"/>
  <c r="G13" i="21"/>
  <c r="G24" i="1" s="1"/>
  <c r="N11" i="21"/>
  <c r="M11" i="21"/>
  <c r="L11" i="21"/>
  <c r="I11" i="21"/>
  <c r="H11" i="21"/>
  <c r="H13" i="21" s="1"/>
  <c r="G11" i="21"/>
  <c r="F11" i="21"/>
  <c r="E11" i="21"/>
  <c r="D11" i="21"/>
  <c r="C11" i="21"/>
  <c r="I9" i="21"/>
  <c r="H9" i="21"/>
  <c r="E9" i="21"/>
  <c r="E13" i="21" s="1"/>
  <c r="C9" i="21"/>
  <c r="I7" i="21"/>
  <c r="H7" i="21"/>
  <c r="G7" i="21"/>
  <c r="G9" i="21" s="1"/>
  <c r="F7" i="21"/>
  <c r="F9" i="21" s="1"/>
  <c r="F13" i="21" s="1"/>
  <c r="E7" i="21"/>
  <c r="D7" i="21"/>
  <c r="D9" i="21" s="1"/>
  <c r="D13" i="21" s="1"/>
  <c r="C7" i="21"/>
  <c r="L6" i="21"/>
  <c r="N18" i="20"/>
  <c r="M18" i="20"/>
  <c r="L18" i="20"/>
  <c r="I18" i="20"/>
  <c r="H18" i="20"/>
  <c r="G18" i="20"/>
  <c r="F18" i="20"/>
  <c r="F20" i="20" s="1"/>
  <c r="E18" i="20"/>
  <c r="D18" i="20"/>
  <c r="D20" i="20" s="1"/>
  <c r="C18" i="20"/>
  <c r="G16" i="20"/>
  <c r="F16" i="20"/>
  <c r="D16" i="20"/>
  <c r="H14" i="20"/>
  <c r="G14" i="20"/>
  <c r="F14" i="20"/>
  <c r="E14" i="20"/>
  <c r="D14" i="20"/>
  <c r="C14" i="20"/>
  <c r="J13" i="20"/>
  <c r="H11" i="20"/>
  <c r="G11" i="20"/>
  <c r="F11" i="20"/>
  <c r="E11" i="20"/>
  <c r="D11" i="20"/>
  <c r="C11" i="20"/>
  <c r="C16" i="20" s="1"/>
  <c r="C20" i="20" s="1"/>
  <c r="I6" i="20"/>
  <c r="J6" i="20" s="1"/>
  <c r="N18" i="19"/>
  <c r="M18" i="19"/>
  <c r="L18" i="19"/>
  <c r="I18" i="19"/>
  <c r="H18" i="19"/>
  <c r="G18" i="19"/>
  <c r="G20" i="19" s="1"/>
  <c r="F18" i="19"/>
  <c r="F20" i="19" s="1"/>
  <c r="E18" i="19"/>
  <c r="E20" i="19" s="1"/>
  <c r="E22" i="1" s="1"/>
  <c r="D18" i="19"/>
  <c r="C18" i="19"/>
  <c r="G16" i="19"/>
  <c r="F16" i="19"/>
  <c r="H14" i="19"/>
  <c r="G14" i="19"/>
  <c r="F14" i="19"/>
  <c r="E14" i="19"/>
  <c r="E16" i="19" s="1"/>
  <c r="D14" i="19"/>
  <c r="C14" i="19"/>
  <c r="J13" i="19"/>
  <c r="N11" i="19"/>
  <c r="M11" i="19"/>
  <c r="L11" i="19"/>
  <c r="I11" i="19"/>
  <c r="H11" i="19"/>
  <c r="H16" i="19" s="1"/>
  <c r="H20" i="19" s="1"/>
  <c r="H22" i="1" s="1"/>
  <c r="G11" i="19"/>
  <c r="F11" i="19"/>
  <c r="E11" i="19"/>
  <c r="D11" i="19"/>
  <c r="D16" i="19" s="1"/>
  <c r="C11" i="19"/>
  <c r="D17" i="17"/>
  <c r="C17" i="17"/>
  <c r="C20" i="1" s="1"/>
  <c r="F13" i="17"/>
  <c r="F17" i="17" s="1"/>
  <c r="I11" i="17"/>
  <c r="H11" i="17"/>
  <c r="H13" i="17" s="1"/>
  <c r="H17" i="17" s="1"/>
  <c r="H20" i="1" s="1"/>
  <c r="G11" i="17"/>
  <c r="F11" i="17"/>
  <c r="E11" i="17"/>
  <c r="D11" i="17"/>
  <c r="C11" i="17"/>
  <c r="L10" i="17"/>
  <c r="L11" i="17" s="1"/>
  <c r="N8" i="17"/>
  <c r="M8" i="17"/>
  <c r="L8" i="17"/>
  <c r="I8" i="17"/>
  <c r="I13" i="17" s="1"/>
  <c r="I17" i="17" s="1"/>
  <c r="H8" i="17"/>
  <c r="G8" i="17"/>
  <c r="F8" i="17"/>
  <c r="E8" i="17"/>
  <c r="E13" i="17" s="1"/>
  <c r="E17" i="17" s="1"/>
  <c r="D8" i="17"/>
  <c r="D13" i="17" s="1"/>
  <c r="C8" i="17"/>
  <c r="C13" i="17" s="1"/>
  <c r="G19" i="16"/>
  <c r="G15" i="16"/>
  <c r="E15" i="16"/>
  <c r="E19" i="16" s="1"/>
  <c r="E19" i="1" s="1"/>
  <c r="C15" i="16"/>
  <c r="C19" i="16" s="1"/>
  <c r="H13" i="16"/>
  <c r="G13" i="16"/>
  <c r="F13" i="16"/>
  <c r="E13" i="16"/>
  <c r="D13" i="16"/>
  <c r="C13" i="16"/>
  <c r="J12" i="16"/>
  <c r="H10" i="16"/>
  <c r="G10" i="16"/>
  <c r="F10" i="16"/>
  <c r="E10" i="16"/>
  <c r="D10" i="16"/>
  <c r="D15" i="16" s="1"/>
  <c r="D19" i="16" s="1"/>
  <c r="C10" i="16"/>
  <c r="I6" i="16"/>
  <c r="J6" i="16" s="1"/>
  <c r="N14" i="15"/>
  <c r="M14" i="15"/>
  <c r="L14" i="15"/>
  <c r="I14" i="15"/>
  <c r="H14" i="15"/>
  <c r="G14" i="15"/>
  <c r="F14" i="15"/>
  <c r="E14" i="15"/>
  <c r="D14" i="15"/>
  <c r="C14" i="15"/>
  <c r="E11" i="15"/>
  <c r="C11" i="15"/>
  <c r="H9" i="15"/>
  <c r="H11" i="15" s="1"/>
  <c r="G9" i="15"/>
  <c r="G11" i="15" s="1"/>
  <c r="F9" i="15"/>
  <c r="F11" i="15" s="1"/>
  <c r="F16" i="15" s="1"/>
  <c r="F18" i="1" s="1"/>
  <c r="E9" i="15"/>
  <c r="D9" i="15"/>
  <c r="D11" i="15" s="1"/>
  <c r="D16" i="15" s="1"/>
  <c r="C9" i="15"/>
  <c r="J8" i="15"/>
  <c r="J6" i="15"/>
  <c r="H22" i="14"/>
  <c r="G22" i="14"/>
  <c r="F22" i="14"/>
  <c r="E22" i="14"/>
  <c r="D22" i="14"/>
  <c r="D24" i="14" s="1"/>
  <c r="C22" i="14"/>
  <c r="I20" i="14"/>
  <c r="J20" i="14" s="1"/>
  <c r="F18" i="14"/>
  <c r="F24" i="14" s="1"/>
  <c r="E18" i="14"/>
  <c r="D18" i="14"/>
  <c r="H16" i="14"/>
  <c r="G16" i="14"/>
  <c r="F16" i="14"/>
  <c r="E16" i="14"/>
  <c r="D16" i="14"/>
  <c r="C16" i="14"/>
  <c r="H13" i="14"/>
  <c r="G13" i="14"/>
  <c r="F13" i="14"/>
  <c r="E13" i="14"/>
  <c r="D13" i="14"/>
  <c r="C13" i="14"/>
  <c r="J12" i="14"/>
  <c r="H10" i="14"/>
  <c r="G10" i="14"/>
  <c r="G18" i="14" s="1"/>
  <c r="F10" i="14"/>
  <c r="E10" i="14"/>
  <c r="D10" i="14"/>
  <c r="C10" i="14"/>
  <c r="I6" i="14"/>
  <c r="J6" i="14" s="1"/>
  <c r="H23" i="13"/>
  <c r="G23" i="13"/>
  <c r="F23" i="13"/>
  <c r="E23" i="13"/>
  <c r="D23" i="13"/>
  <c r="C23" i="13"/>
  <c r="I22" i="13"/>
  <c r="J22" i="13" s="1"/>
  <c r="F20" i="13"/>
  <c r="D20" i="13"/>
  <c r="H15" i="13"/>
  <c r="H20" i="13" s="1"/>
  <c r="H25" i="13" s="1"/>
  <c r="H15" i="1" s="1"/>
  <c r="F15" i="13"/>
  <c r="E15" i="13"/>
  <c r="D15" i="13"/>
  <c r="C15" i="13"/>
  <c r="C20" i="13" s="1"/>
  <c r="J14" i="13"/>
  <c r="G14" i="13"/>
  <c r="G15" i="13" s="1"/>
  <c r="H12" i="13"/>
  <c r="G12" i="13"/>
  <c r="F12" i="13"/>
  <c r="E12" i="13"/>
  <c r="E20" i="13" s="1"/>
  <c r="E25" i="13" s="1"/>
  <c r="D12" i="13"/>
  <c r="C12" i="13"/>
  <c r="G11" i="13"/>
  <c r="I11" i="13" s="1"/>
  <c r="G9" i="13"/>
  <c r="G8" i="13"/>
  <c r="G7" i="13"/>
  <c r="G20" i="13" s="1"/>
  <c r="G25" i="13" s="1"/>
  <c r="G15" i="1" s="1"/>
  <c r="I6" i="13"/>
  <c r="J6" i="13" s="1"/>
  <c r="N13" i="32"/>
  <c r="M13" i="32"/>
  <c r="L13" i="32"/>
  <c r="I13" i="32"/>
  <c r="H13" i="32"/>
  <c r="G13" i="32"/>
  <c r="G15" i="32" s="1"/>
  <c r="F13" i="32"/>
  <c r="E13" i="32"/>
  <c r="D13" i="32"/>
  <c r="C13" i="32"/>
  <c r="C15" i="32" s="1"/>
  <c r="G11" i="32"/>
  <c r="E11" i="32"/>
  <c r="E15" i="32" s="1"/>
  <c r="E14" i="1" s="1"/>
  <c r="C11" i="32"/>
  <c r="H9" i="32"/>
  <c r="H11" i="32" s="1"/>
  <c r="H15" i="32" s="1"/>
  <c r="H14" i="1" s="1"/>
  <c r="G9" i="32"/>
  <c r="F9" i="32"/>
  <c r="F11" i="32" s="1"/>
  <c r="F15" i="32" s="1"/>
  <c r="E9" i="32"/>
  <c r="D9" i="32"/>
  <c r="D11" i="32" s="1"/>
  <c r="D15" i="32" s="1"/>
  <c r="C9" i="32"/>
  <c r="J8" i="32"/>
  <c r="J6" i="32"/>
  <c r="H30" i="12"/>
  <c r="G30" i="12"/>
  <c r="F30" i="12"/>
  <c r="E30" i="12"/>
  <c r="C30" i="12"/>
  <c r="C32" i="12" s="1"/>
  <c r="C36" i="12" s="1"/>
  <c r="C13" i="1" s="1"/>
  <c r="J29" i="12"/>
  <c r="J27" i="12"/>
  <c r="J25" i="12"/>
  <c r="J24" i="12"/>
  <c r="J22" i="12"/>
  <c r="J20" i="12"/>
  <c r="J18" i="12"/>
  <c r="J17" i="12"/>
  <c r="J16" i="12"/>
  <c r="D16" i="12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J14" i="12"/>
  <c r="D14" i="12"/>
  <c r="J13" i="12"/>
  <c r="J12" i="12"/>
  <c r="L11" i="12"/>
  <c r="I9" i="12"/>
  <c r="J9" i="12" s="1"/>
  <c r="H9" i="12"/>
  <c r="G9" i="12"/>
  <c r="F9" i="12"/>
  <c r="F32" i="12" s="1"/>
  <c r="F36" i="12" s="1"/>
  <c r="E9" i="12"/>
  <c r="D9" i="12"/>
  <c r="C9" i="12"/>
  <c r="L7" i="12"/>
  <c r="L9" i="12" s="1"/>
  <c r="E19" i="18"/>
  <c r="E21" i="1" s="1"/>
  <c r="D19" i="18"/>
  <c r="C17" i="18"/>
  <c r="C19" i="18" s="1"/>
  <c r="C21" i="1" s="1"/>
  <c r="H13" i="18"/>
  <c r="G13" i="18"/>
  <c r="G15" i="18" s="1"/>
  <c r="G19" i="18" s="1"/>
  <c r="F13" i="18"/>
  <c r="E13" i="18"/>
  <c r="D13" i="18"/>
  <c r="D15" i="18" s="1"/>
  <c r="C13" i="18"/>
  <c r="I13" i="18"/>
  <c r="J13" i="18" s="1"/>
  <c r="N10" i="18"/>
  <c r="M10" i="18"/>
  <c r="L10" i="18"/>
  <c r="I10" i="18"/>
  <c r="H10" i="18"/>
  <c r="G10" i="18"/>
  <c r="F10" i="18"/>
  <c r="F15" i="18" s="1"/>
  <c r="F19" i="18" s="1"/>
  <c r="E10" i="18"/>
  <c r="E15" i="18" s="1"/>
  <c r="D10" i="18"/>
  <c r="C10" i="18"/>
  <c r="C15" i="18" s="1"/>
  <c r="F26" i="11"/>
  <c r="F12" i="1" s="1"/>
  <c r="H24" i="11"/>
  <c r="G24" i="11"/>
  <c r="F24" i="11"/>
  <c r="E24" i="11"/>
  <c r="D24" i="11"/>
  <c r="C24" i="11"/>
  <c r="I23" i="11"/>
  <c r="J23" i="11" s="1"/>
  <c r="H18" i="11"/>
  <c r="G18" i="11"/>
  <c r="F18" i="11"/>
  <c r="E18" i="11"/>
  <c r="D18" i="11"/>
  <c r="C18" i="11"/>
  <c r="H15" i="11"/>
  <c r="G15" i="11"/>
  <c r="F15" i="11"/>
  <c r="E15" i="11"/>
  <c r="D15" i="11"/>
  <c r="C15" i="11"/>
  <c r="J14" i="11"/>
  <c r="L13" i="11"/>
  <c r="M13" i="11" s="1"/>
  <c r="N13" i="11" s="1"/>
  <c r="H11" i="11"/>
  <c r="G11" i="11"/>
  <c r="F11" i="11"/>
  <c r="F20" i="11" s="1"/>
  <c r="E11" i="11"/>
  <c r="E20" i="11" s="1"/>
  <c r="D11" i="11"/>
  <c r="C11" i="11"/>
  <c r="C20" i="11" s="1"/>
  <c r="C26" i="11" s="1"/>
  <c r="C12" i="1" s="1"/>
  <c r="I9" i="11"/>
  <c r="J9" i="11" s="1"/>
  <c r="I6" i="11"/>
  <c r="J6" i="11" s="1"/>
  <c r="N17" i="10"/>
  <c r="M17" i="10"/>
  <c r="L17" i="10"/>
  <c r="I17" i="10"/>
  <c r="H17" i="10"/>
  <c r="G17" i="10"/>
  <c r="G19" i="10" s="1"/>
  <c r="G11" i="1" s="1"/>
  <c r="F17" i="10"/>
  <c r="E17" i="10"/>
  <c r="D17" i="10"/>
  <c r="C17" i="10"/>
  <c r="E13" i="10"/>
  <c r="C13" i="10"/>
  <c r="H11" i="10"/>
  <c r="G11" i="10"/>
  <c r="F11" i="10"/>
  <c r="E11" i="10"/>
  <c r="D11" i="10"/>
  <c r="C11" i="10"/>
  <c r="J10" i="10"/>
  <c r="H8" i="10"/>
  <c r="G8" i="10"/>
  <c r="G13" i="10" s="1"/>
  <c r="F8" i="10"/>
  <c r="F13" i="10" s="1"/>
  <c r="F19" i="10" s="1"/>
  <c r="E8" i="10"/>
  <c r="D8" i="10"/>
  <c r="D13" i="10" s="1"/>
  <c r="D19" i="10" s="1"/>
  <c r="D11" i="1" s="1"/>
  <c r="C8" i="10"/>
  <c r="J6" i="10"/>
  <c r="F27" i="9"/>
  <c r="F10" i="1" s="1"/>
  <c r="D27" i="9"/>
  <c r="D10" i="1" s="1"/>
  <c r="H25" i="9"/>
  <c r="G25" i="9"/>
  <c r="F25" i="9"/>
  <c r="E25" i="9"/>
  <c r="D25" i="9"/>
  <c r="C25" i="9"/>
  <c r="I23" i="9"/>
  <c r="J23" i="9" s="1"/>
  <c r="D21" i="9"/>
  <c r="H19" i="9"/>
  <c r="G19" i="9"/>
  <c r="F19" i="9"/>
  <c r="E19" i="9"/>
  <c r="D19" i="9"/>
  <c r="C19" i="9"/>
  <c r="H16" i="9"/>
  <c r="G16" i="9"/>
  <c r="F16" i="9"/>
  <c r="E16" i="9"/>
  <c r="D16" i="9"/>
  <c r="C16" i="9"/>
  <c r="J14" i="9"/>
  <c r="L13" i="9"/>
  <c r="M13" i="9" s="1"/>
  <c r="H11" i="9"/>
  <c r="G11" i="9"/>
  <c r="F11" i="9"/>
  <c r="F21" i="9" s="1"/>
  <c r="E11" i="9"/>
  <c r="E21" i="9" s="1"/>
  <c r="D11" i="9"/>
  <c r="C11" i="9"/>
  <c r="I10" i="9"/>
  <c r="J10" i="9" s="1"/>
  <c r="L6" i="9"/>
  <c r="M6" i="9" s="1"/>
  <c r="N26" i="8"/>
  <c r="M26" i="8"/>
  <c r="L26" i="8"/>
  <c r="I26" i="8"/>
  <c r="H26" i="8"/>
  <c r="G26" i="8"/>
  <c r="F26" i="8"/>
  <c r="E26" i="8"/>
  <c r="D26" i="8"/>
  <c r="C26" i="8"/>
  <c r="C23" i="8"/>
  <c r="H21" i="8"/>
  <c r="G21" i="8"/>
  <c r="F21" i="8"/>
  <c r="E21" i="8"/>
  <c r="D21" i="8"/>
  <c r="C21" i="8"/>
  <c r="L20" i="8"/>
  <c r="M20" i="8" s="1"/>
  <c r="N20" i="8" s="1"/>
  <c r="J18" i="8"/>
  <c r="L17" i="8"/>
  <c r="M17" i="8" s="1"/>
  <c r="N17" i="8" s="1"/>
  <c r="L15" i="8"/>
  <c r="M15" i="8" s="1"/>
  <c r="N15" i="8" s="1"/>
  <c r="J13" i="8"/>
  <c r="I11" i="8"/>
  <c r="J11" i="8" s="1"/>
  <c r="H11" i="8"/>
  <c r="G11" i="8"/>
  <c r="F11" i="8"/>
  <c r="E11" i="8"/>
  <c r="D11" i="8"/>
  <c r="C11" i="8"/>
  <c r="L9" i="8"/>
  <c r="L11" i="8" s="1"/>
  <c r="N7" i="8"/>
  <c r="M7" i="8"/>
  <c r="L7" i="8"/>
  <c r="I7" i="8"/>
  <c r="J7" i="8" s="1"/>
  <c r="H7" i="8"/>
  <c r="G7" i="8"/>
  <c r="F7" i="8"/>
  <c r="E7" i="8"/>
  <c r="D7" i="8"/>
  <c r="D23" i="8" s="1"/>
  <c r="C7" i="8"/>
  <c r="N22" i="7"/>
  <c r="M22" i="7"/>
  <c r="L22" i="7"/>
  <c r="I22" i="7"/>
  <c r="H22" i="7"/>
  <c r="G22" i="7"/>
  <c r="F22" i="7"/>
  <c r="E22" i="7"/>
  <c r="J22" i="7" s="1"/>
  <c r="D22" i="7"/>
  <c r="C22" i="7"/>
  <c r="L17" i="7"/>
  <c r="N16" i="7"/>
  <c r="N17" i="7" s="1"/>
  <c r="M16" i="7"/>
  <c r="M17" i="7" s="1"/>
  <c r="L16" i="7"/>
  <c r="I16" i="7"/>
  <c r="I17" i="7" s="1"/>
  <c r="H16" i="7"/>
  <c r="H17" i="7" s="1"/>
  <c r="G16" i="7"/>
  <c r="G17" i="7" s="1"/>
  <c r="F16" i="7"/>
  <c r="F17" i="7" s="1"/>
  <c r="E16" i="7"/>
  <c r="D16" i="7"/>
  <c r="D17" i="7" s="1"/>
  <c r="C16" i="7"/>
  <c r="C17" i="7" s="1"/>
  <c r="N14" i="7"/>
  <c r="M14" i="7"/>
  <c r="L14" i="7"/>
  <c r="I14" i="7"/>
  <c r="H14" i="7"/>
  <c r="G14" i="7"/>
  <c r="F14" i="7"/>
  <c r="E14" i="7"/>
  <c r="J14" i="7" s="1"/>
  <c r="D14" i="7"/>
  <c r="C14" i="7"/>
  <c r="I10" i="7"/>
  <c r="H10" i="7"/>
  <c r="H19" i="7" s="1"/>
  <c r="H24" i="7" s="1"/>
  <c r="H8" i="1" s="1"/>
  <c r="G10" i="7"/>
  <c r="G19" i="7" s="1"/>
  <c r="F10" i="7"/>
  <c r="E10" i="7"/>
  <c r="D10" i="7"/>
  <c r="C10" i="7"/>
  <c r="L7" i="7"/>
  <c r="L10" i="7" s="1"/>
  <c r="I24" i="6"/>
  <c r="H24" i="6"/>
  <c r="G24" i="6"/>
  <c r="F24" i="6"/>
  <c r="E24" i="6"/>
  <c r="D24" i="6"/>
  <c r="C24" i="6"/>
  <c r="L23" i="6"/>
  <c r="M23" i="6" s="1"/>
  <c r="M24" i="6" s="1"/>
  <c r="F21" i="6"/>
  <c r="F26" i="6" s="1"/>
  <c r="F7" i="1" s="1"/>
  <c r="H19" i="6"/>
  <c r="G19" i="6"/>
  <c r="F19" i="6"/>
  <c r="E19" i="6"/>
  <c r="D19" i="6"/>
  <c r="C19" i="6"/>
  <c r="I18" i="6"/>
  <c r="J18" i="6" s="1"/>
  <c r="N15" i="6"/>
  <c r="M15" i="6"/>
  <c r="L15" i="6"/>
  <c r="I15" i="6"/>
  <c r="J15" i="6" s="1"/>
  <c r="H15" i="6"/>
  <c r="G15" i="6"/>
  <c r="F15" i="6"/>
  <c r="E15" i="6"/>
  <c r="D15" i="6"/>
  <c r="C15" i="6"/>
  <c r="N12" i="6"/>
  <c r="M12" i="6"/>
  <c r="L12" i="6"/>
  <c r="I12" i="6"/>
  <c r="J12" i="6" s="1"/>
  <c r="H12" i="6"/>
  <c r="G12" i="6"/>
  <c r="F12" i="6"/>
  <c r="E12" i="6"/>
  <c r="E21" i="6" s="1"/>
  <c r="E26" i="6" s="1"/>
  <c r="E7" i="1" s="1"/>
  <c r="D12" i="6"/>
  <c r="C12" i="6"/>
  <c r="I8" i="6"/>
  <c r="J8" i="6" s="1"/>
  <c r="H8" i="6"/>
  <c r="G8" i="6"/>
  <c r="G21" i="6" s="1"/>
  <c r="F8" i="6"/>
  <c r="E8" i="6"/>
  <c r="D8" i="6"/>
  <c r="C8" i="6"/>
  <c r="C21" i="6" s="1"/>
  <c r="L7" i="6"/>
  <c r="M7" i="6" s="1"/>
  <c r="D7" i="6"/>
  <c r="N22" i="5"/>
  <c r="M22" i="5"/>
  <c r="L22" i="5"/>
  <c r="I22" i="5"/>
  <c r="H22" i="5"/>
  <c r="G22" i="5"/>
  <c r="G24" i="5" s="1"/>
  <c r="G6" i="1" s="1"/>
  <c r="F22" i="5"/>
  <c r="E22" i="5"/>
  <c r="D22" i="5"/>
  <c r="D24" i="5" s="1"/>
  <c r="D6" i="1" s="1"/>
  <c r="C22" i="5"/>
  <c r="G19" i="5"/>
  <c r="H17" i="5"/>
  <c r="G17" i="5"/>
  <c r="F17" i="5"/>
  <c r="E17" i="5"/>
  <c r="D17" i="5"/>
  <c r="C17" i="5"/>
  <c r="N14" i="5"/>
  <c r="M14" i="5"/>
  <c r="L14" i="5"/>
  <c r="I14" i="5"/>
  <c r="J14" i="5" s="1"/>
  <c r="H14" i="5"/>
  <c r="G14" i="5"/>
  <c r="F14" i="5"/>
  <c r="E14" i="5"/>
  <c r="D14" i="5"/>
  <c r="C14" i="5"/>
  <c r="N11" i="5"/>
  <c r="M11" i="5"/>
  <c r="L11" i="5"/>
  <c r="I11" i="5"/>
  <c r="H11" i="5"/>
  <c r="G11" i="5"/>
  <c r="F11" i="5"/>
  <c r="E11" i="5"/>
  <c r="D11" i="5"/>
  <c r="C11" i="5"/>
  <c r="H8" i="5"/>
  <c r="H19" i="5" s="1"/>
  <c r="G8" i="5"/>
  <c r="F8" i="5"/>
  <c r="F19" i="5" s="1"/>
  <c r="F24" i="5" s="1"/>
  <c r="F6" i="1" s="1"/>
  <c r="E8" i="5"/>
  <c r="D8" i="5"/>
  <c r="D19" i="5" s="1"/>
  <c r="C8" i="5"/>
  <c r="C19" i="5" s="1"/>
  <c r="C24" i="5" s="1"/>
  <c r="C6" i="1" s="1"/>
  <c r="I6" i="5"/>
  <c r="J6" i="5" s="1"/>
  <c r="I13" i="4"/>
  <c r="H13" i="4"/>
  <c r="G13" i="4"/>
  <c r="G15" i="4" s="1"/>
  <c r="G5" i="1" s="1"/>
  <c r="F13" i="4"/>
  <c r="F15" i="4" s="1"/>
  <c r="E13" i="4"/>
  <c r="D13" i="4"/>
  <c r="D15" i="4" s="1"/>
  <c r="D5" i="1" s="1"/>
  <c r="C13" i="4"/>
  <c r="C15" i="4" s="1"/>
  <c r="C5" i="1" s="1"/>
  <c r="L12" i="4"/>
  <c r="M12" i="4" s="1"/>
  <c r="N12" i="4" s="1"/>
  <c r="N13" i="4" s="1"/>
  <c r="G10" i="4"/>
  <c r="E10" i="4"/>
  <c r="C10" i="4"/>
  <c r="H8" i="4"/>
  <c r="H10" i="4" s="1"/>
  <c r="G8" i="4"/>
  <c r="F8" i="4"/>
  <c r="F10" i="4" s="1"/>
  <c r="E8" i="4"/>
  <c r="D8" i="4"/>
  <c r="D10" i="4" s="1"/>
  <c r="C8" i="4"/>
  <c r="I6" i="4"/>
  <c r="J6" i="4" s="1"/>
  <c r="N17" i="3"/>
  <c r="M17" i="3"/>
  <c r="L17" i="3"/>
  <c r="I17" i="3"/>
  <c r="H17" i="3"/>
  <c r="G17" i="3"/>
  <c r="F17" i="3"/>
  <c r="E17" i="3"/>
  <c r="D17" i="3"/>
  <c r="C17" i="3"/>
  <c r="C19" i="3" s="1"/>
  <c r="C4" i="1" s="1"/>
  <c r="E14" i="3"/>
  <c r="E19" i="3" s="1"/>
  <c r="E4" i="1" s="1"/>
  <c r="C14" i="3"/>
  <c r="H12" i="3"/>
  <c r="H14" i="3" s="1"/>
  <c r="H19" i="3" s="1"/>
  <c r="H4" i="1" s="1"/>
  <c r="F12" i="3"/>
  <c r="F14" i="3" s="1"/>
  <c r="F19" i="3" s="1"/>
  <c r="F4" i="1" s="1"/>
  <c r="E12" i="3"/>
  <c r="D12" i="3"/>
  <c r="D14" i="3" s="1"/>
  <c r="C12" i="3"/>
  <c r="G11" i="3"/>
  <c r="G10" i="3"/>
  <c r="G9" i="3"/>
  <c r="L8" i="3"/>
  <c r="M8" i="3" s="1"/>
  <c r="N8" i="3" s="1"/>
  <c r="G8" i="3"/>
  <c r="G7" i="3"/>
  <c r="J6" i="3"/>
  <c r="G6" i="3"/>
  <c r="F32" i="1"/>
  <c r="G31" i="1"/>
  <c r="E31" i="1"/>
  <c r="D31" i="1"/>
  <c r="C31" i="1"/>
  <c r="G30" i="1"/>
  <c r="C30" i="1"/>
  <c r="H29" i="1"/>
  <c r="G29" i="1"/>
  <c r="F29" i="1"/>
  <c r="D29" i="1"/>
  <c r="I24" i="1"/>
  <c r="H24" i="1"/>
  <c r="F24" i="1"/>
  <c r="E24" i="1"/>
  <c r="D24" i="1"/>
  <c r="F23" i="1"/>
  <c r="D23" i="1"/>
  <c r="C23" i="1"/>
  <c r="G22" i="1"/>
  <c r="F22" i="1"/>
  <c r="G21" i="1"/>
  <c r="F21" i="1"/>
  <c r="D21" i="1"/>
  <c r="I20" i="1"/>
  <c r="O20" i="1" s="1"/>
  <c r="F20" i="1"/>
  <c r="E20" i="1"/>
  <c r="D20" i="1"/>
  <c r="G19" i="1"/>
  <c r="D19" i="1"/>
  <c r="C19" i="1"/>
  <c r="D18" i="1"/>
  <c r="F16" i="1"/>
  <c r="D16" i="1"/>
  <c r="E15" i="1"/>
  <c r="G14" i="1"/>
  <c r="F14" i="1"/>
  <c r="D14" i="1"/>
  <c r="C14" i="1"/>
  <c r="F13" i="1"/>
  <c r="F11" i="1"/>
  <c r="F5" i="1"/>
  <c r="F19" i="7" l="1"/>
  <c r="J6" i="26"/>
  <c r="I11" i="26"/>
  <c r="J11" i="26" s="1"/>
  <c r="O24" i="1"/>
  <c r="J16" i="22"/>
  <c r="I20" i="22"/>
  <c r="J20" i="22" s="1"/>
  <c r="I20" i="25"/>
  <c r="J20" i="25" s="1"/>
  <c r="D28" i="8"/>
  <c r="D9" i="1" s="1"/>
  <c r="H16" i="15"/>
  <c r="H18" i="1" s="1"/>
  <c r="G16" i="15"/>
  <c r="G18" i="1" s="1"/>
  <c r="E16" i="15"/>
  <c r="E18" i="1" s="1"/>
  <c r="C16" i="15"/>
  <c r="C18" i="1" s="1"/>
  <c r="D19" i="7"/>
  <c r="D24" i="7" s="1"/>
  <c r="D8" i="1" s="1"/>
  <c r="E17" i="7"/>
  <c r="J17" i="7" s="1"/>
  <c r="J16" i="7"/>
  <c r="J10" i="7"/>
  <c r="H21" i="26"/>
  <c r="H20" i="25"/>
  <c r="H24" i="25" s="1"/>
  <c r="H30" i="1" s="1"/>
  <c r="C34" i="22"/>
  <c r="C48" i="22" s="1"/>
  <c r="C26" i="1" s="1"/>
  <c r="G34" i="22"/>
  <c r="G48" i="22" s="1"/>
  <c r="G26" i="1" s="1"/>
  <c r="H16" i="20"/>
  <c r="H20" i="20" s="1"/>
  <c r="H23" i="1" s="1"/>
  <c r="H32" i="12"/>
  <c r="H36" i="12" s="1"/>
  <c r="H13" i="1" s="1"/>
  <c r="H15" i="18"/>
  <c r="H19" i="18" s="1"/>
  <c r="H21" i="1" s="1"/>
  <c r="H20" i="11"/>
  <c r="H26" i="11" s="1"/>
  <c r="H12" i="1" s="1"/>
  <c r="H21" i="9"/>
  <c r="H27" i="9" s="1"/>
  <c r="H10" i="1" s="1"/>
  <c r="H23" i="8"/>
  <c r="H28" i="8" s="1"/>
  <c r="H9" i="1" s="1"/>
  <c r="H21" i="6"/>
  <c r="H26" i="6" s="1"/>
  <c r="H7" i="1" s="1"/>
  <c r="H15" i="4"/>
  <c r="H5" i="1" s="1"/>
  <c r="H32" i="1"/>
  <c r="F25" i="13"/>
  <c r="F15" i="1" s="1"/>
  <c r="L22" i="12"/>
  <c r="M22" i="12" s="1"/>
  <c r="N22" i="12" s="1"/>
  <c r="L29" i="12"/>
  <c r="M29" i="12" s="1"/>
  <c r="N29" i="12" s="1"/>
  <c r="L23" i="9"/>
  <c r="M23" i="9" s="1"/>
  <c r="M18" i="9" s="1"/>
  <c r="M19" i="9" s="1"/>
  <c r="L18" i="6"/>
  <c r="L19" i="6" s="1"/>
  <c r="L13" i="20"/>
  <c r="I14" i="20"/>
  <c r="J14" i="20" s="1"/>
  <c r="L15" i="31"/>
  <c r="L20" i="12"/>
  <c r="M20" i="12" s="1"/>
  <c r="N20" i="12" s="1"/>
  <c r="I11" i="31"/>
  <c r="J11" i="31" s="1"/>
  <c r="L14" i="9"/>
  <c r="M14" i="9" s="1"/>
  <c r="N14" i="9" s="1"/>
  <c r="L13" i="19"/>
  <c r="M13" i="19" s="1"/>
  <c r="N13" i="19" s="1"/>
  <c r="N14" i="19" s="1"/>
  <c r="L9" i="11"/>
  <c r="M9" i="11" s="1"/>
  <c r="N9" i="11" s="1"/>
  <c r="M14" i="31"/>
  <c r="N14" i="31" s="1"/>
  <c r="N15" i="31" s="1"/>
  <c r="L7" i="26"/>
  <c r="M7" i="26" s="1"/>
  <c r="N7" i="26" s="1"/>
  <c r="M13" i="4"/>
  <c r="I19" i="6"/>
  <c r="J19" i="6" s="1"/>
  <c r="I14" i="19"/>
  <c r="J14" i="19" s="1"/>
  <c r="N6" i="9"/>
  <c r="M8" i="6"/>
  <c r="N7" i="6"/>
  <c r="N8" i="6" s="1"/>
  <c r="L6" i="20"/>
  <c r="L19" i="12"/>
  <c r="M19" i="12" s="1"/>
  <c r="N19" i="12" s="1"/>
  <c r="J19" i="12"/>
  <c r="I11" i="20"/>
  <c r="L20" i="23"/>
  <c r="M20" i="23" s="1"/>
  <c r="J20" i="23"/>
  <c r="I13" i="24"/>
  <c r="J13" i="24" s="1"/>
  <c r="J7" i="24"/>
  <c r="L11" i="25"/>
  <c r="L10" i="31"/>
  <c r="M10" i="31" s="1"/>
  <c r="N10" i="31" s="1"/>
  <c r="L6" i="4"/>
  <c r="L8" i="4" s="1"/>
  <c r="M7" i="7"/>
  <c r="M10" i="7" s="1"/>
  <c r="M19" i="7" s="1"/>
  <c r="M24" i="7" s="1"/>
  <c r="L13" i="8"/>
  <c r="M13" i="8" s="1"/>
  <c r="I16" i="9"/>
  <c r="J16" i="9" s="1"/>
  <c r="J13" i="9"/>
  <c r="L12" i="18"/>
  <c r="M12" i="18" s="1"/>
  <c r="N12" i="18" s="1"/>
  <c r="N13" i="18" s="1"/>
  <c r="J12" i="18"/>
  <c r="L7" i="24"/>
  <c r="M7" i="24" s="1"/>
  <c r="N7" i="24" s="1"/>
  <c r="M6" i="25"/>
  <c r="M11" i="25" s="1"/>
  <c r="L15" i="25"/>
  <c r="L9" i="26"/>
  <c r="M9" i="26" s="1"/>
  <c r="N9" i="26" s="1"/>
  <c r="I8" i="5"/>
  <c r="J8" i="5" s="1"/>
  <c r="L16" i="8"/>
  <c r="M16" i="8" s="1"/>
  <c r="N16" i="8" s="1"/>
  <c r="J16" i="8"/>
  <c r="I24" i="11"/>
  <c r="J24" i="11" s="1"/>
  <c r="L7" i="21"/>
  <c r="L9" i="21" s="1"/>
  <c r="L13" i="21" s="1"/>
  <c r="L6" i="3"/>
  <c r="M6" i="3" s="1"/>
  <c r="L10" i="10"/>
  <c r="L11" i="10" s="1"/>
  <c r="M7" i="12"/>
  <c r="N7" i="12" s="1"/>
  <c r="N9" i="12" s="1"/>
  <c r="I10" i="14"/>
  <c r="J10" i="14" s="1"/>
  <c r="L8" i="26"/>
  <c r="M8" i="26" s="1"/>
  <c r="N8" i="26" s="1"/>
  <c r="J8" i="26"/>
  <c r="L14" i="11"/>
  <c r="M14" i="11" s="1"/>
  <c r="N14" i="11" s="1"/>
  <c r="N15" i="11" s="1"/>
  <c r="L12" i="16"/>
  <c r="L13" i="16" s="1"/>
  <c r="I17" i="5"/>
  <c r="J17" i="5" s="1"/>
  <c r="J16" i="5"/>
  <c r="I15" i="18"/>
  <c r="J15" i="18" s="1"/>
  <c r="L12" i="14"/>
  <c r="I13" i="14"/>
  <c r="J13" i="14" s="1"/>
  <c r="L14" i="12"/>
  <c r="M14" i="12" s="1"/>
  <c r="N14" i="12" s="1"/>
  <c r="L10" i="9"/>
  <c r="M10" i="9" s="1"/>
  <c r="N10" i="9" s="1"/>
  <c r="L15" i="12"/>
  <c r="M15" i="12" s="1"/>
  <c r="N15" i="12" s="1"/>
  <c r="J15" i="12"/>
  <c r="L13" i="4"/>
  <c r="L16" i="12"/>
  <c r="M16" i="12" s="1"/>
  <c r="N16" i="12" s="1"/>
  <c r="L21" i="12"/>
  <c r="M21" i="12" s="1"/>
  <c r="N21" i="12" s="1"/>
  <c r="J21" i="12"/>
  <c r="L25" i="12"/>
  <c r="M25" i="12" s="1"/>
  <c r="N25" i="12" s="1"/>
  <c r="L6" i="32"/>
  <c r="N14" i="26"/>
  <c r="J14" i="26"/>
  <c r="L6" i="5"/>
  <c r="M6" i="5" s="1"/>
  <c r="L23" i="11"/>
  <c r="M23" i="11" s="1"/>
  <c r="L18" i="12"/>
  <c r="M18" i="12" s="1"/>
  <c r="N18" i="12" s="1"/>
  <c r="L27" i="12"/>
  <c r="M27" i="12" s="1"/>
  <c r="N27" i="12" s="1"/>
  <c r="L11" i="13"/>
  <c r="M11" i="13" s="1"/>
  <c r="N11" i="13" s="1"/>
  <c r="J11" i="13"/>
  <c r="M6" i="21"/>
  <c r="L23" i="12"/>
  <c r="M23" i="12" s="1"/>
  <c r="N23" i="12" s="1"/>
  <c r="J23" i="12"/>
  <c r="L6" i="14"/>
  <c r="L18" i="9"/>
  <c r="L19" i="9" s="1"/>
  <c r="I25" i="9"/>
  <c r="J25" i="9" s="1"/>
  <c r="L26" i="12"/>
  <c r="M26" i="12" s="1"/>
  <c r="N26" i="12" s="1"/>
  <c r="J26" i="12"/>
  <c r="L7" i="32"/>
  <c r="M7" i="32" s="1"/>
  <c r="N7" i="32" s="1"/>
  <c r="J7" i="32"/>
  <c r="L14" i="8"/>
  <c r="M14" i="8" s="1"/>
  <c r="N14" i="8" s="1"/>
  <c r="J14" i="8"/>
  <c r="G23" i="8"/>
  <c r="G28" i="8" s="1"/>
  <c r="G9" i="1" s="1"/>
  <c r="G20" i="11"/>
  <c r="G26" i="11"/>
  <c r="G12" i="1" s="1"/>
  <c r="I15" i="11"/>
  <c r="J15" i="11" s="1"/>
  <c r="J13" i="11"/>
  <c r="E26" i="11"/>
  <c r="E32" i="12"/>
  <c r="E23" i="8"/>
  <c r="F48" i="22"/>
  <c r="F26" i="1" s="1"/>
  <c r="D34" i="22"/>
  <c r="D48" i="22" s="1"/>
  <c r="D26" i="1" s="1"/>
  <c r="H34" i="22"/>
  <c r="H48" i="22" s="1"/>
  <c r="H26" i="1" s="1"/>
  <c r="J28" i="22"/>
  <c r="L7" i="22"/>
  <c r="M7" i="22" s="1"/>
  <c r="N7" i="22" s="1"/>
  <c r="L23" i="22"/>
  <c r="M23" i="22" s="1"/>
  <c r="N23" i="22" s="1"/>
  <c r="L15" i="22"/>
  <c r="I8" i="22"/>
  <c r="J8" i="22" s="1"/>
  <c r="J6" i="22"/>
  <c r="L6" i="22"/>
  <c r="G25" i="1"/>
  <c r="G26" i="6"/>
  <c r="G7" i="1" s="1"/>
  <c r="M9" i="8"/>
  <c r="M11" i="8" s="1"/>
  <c r="J15" i="14"/>
  <c r="I22" i="14"/>
  <c r="J22" i="14" s="1"/>
  <c r="E16" i="20"/>
  <c r="I8" i="4"/>
  <c r="J8" i="4" s="1"/>
  <c r="L19" i="7"/>
  <c r="L24" i="7" s="1"/>
  <c r="F24" i="7"/>
  <c r="F8" i="1" s="1"/>
  <c r="L17" i="12"/>
  <c r="M17" i="12" s="1"/>
  <c r="N17" i="12" s="1"/>
  <c r="L20" i="14"/>
  <c r="N23" i="6"/>
  <c r="N24" i="6" s="1"/>
  <c r="L18" i="8"/>
  <c r="M18" i="8" s="1"/>
  <c r="N18" i="8" s="1"/>
  <c r="D19" i="3"/>
  <c r="D4" i="1" s="1"/>
  <c r="E15" i="4"/>
  <c r="E5" i="1" s="1"/>
  <c r="E19" i="5"/>
  <c r="E24" i="5" s="1"/>
  <c r="E6" i="1" s="1"/>
  <c r="C26" i="6"/>
  <c r="C7" i="1" s="1"/>
  <c r="I11" i="10"/>
  <c r="J11" i="10" s="1"/>
  <c r="D32" i="12"/>
  <c r="D36" i="12" s="1"/>
  <c r="D13" i="1" s="1"/>
  <c r="G24" i="7"/>
  <c r="G8" i="1" s="1"/>
  <c r="C21" i="9"/>
  <c r="C27" i="9" s="1"/>
  <c r="C10" i="1" s="1"/>
  <c r="E27" i="9"/>
  <c r="E10" i="1" s="1"/>
  <c r="L6" i="11"/>
  <c r="I11" i="11"/>
  <c r="J11" i="11" s="1"/>
  <c r="M11" i="12"/>
  <c r="H24" i="5"/>
  <c r="H6" i="1" s="1"/>
  <c r="L24" i="6"/>
  <c r="D21" i="6"/>
  <c r="D26" i="6" s="1"/>
  <c r="D7" i="1" s="1"/>
  <c r="E19" i="7"/>
  <c r="E24" i="7" s="1"/>
  <c r="E8" i="1" s="1"/>
  <c r="C19" i="7"/>
  <c r="C24" i="7" s="1"/>
  <c r="C8" i="1" s="1"/>
  <c r="I21" i="8"/>
  <c r="J21" i="8" s="1"/>
  <c r="D30" i="12"/>
  <c r="G12" i="3"/>
  <c r="G14" i="3" s="1"/>
  <c r="G19" i="3" s="1"/>
  <c r="G4" i="1" s="1"/>
  <c r="L8" i="6"/>
  <c r="I19" i="7"/>
  <c r="F23" i="8"/>
  <c r="F28" i="8" s="1"/>
  <c r="F9" i="1" s="1"/>
  <c r="F17" i="1" s="1"/>
  <c r="C28" i="8"/>
  <c r="C9" i="1" s="1"/>
  <c r="C19" i="10"/>
  <c r="C11" i="1" s="1"/>
  <c r="D20" i="11"/>
  <c r="D26" i="11" s="1"/>
  <c r="D12" i="1" s="1"/>
  <c r="L8" i="32"/>
  <c r="M8" i="32" s="1"/>
  <c r="N8" i="32" s="1"/>
  <c r="H18" i="14"/>
  <c r="H24" i="14" s="1"/>
  <c r="H16" i="1" s="1"/>
  <c r="I12" i="3"/>
  <c r="J12" i="3" s="1"/>
  <c r="E28" i="8"/>
  <c r="E19" i="10"/>
  <c r="E11" i="1" s="1"/>
  <c r="L24" i="12"/>
  <c r="M24" i="12" s="1"/>
  <c r="N24" i="12" s="1"/>
  <c r="E20" i="20"/>
  <c r="N13" i="25"/>
  <c r="N15" i="25" s="1"/>
  <c r="M15" i="25"/>
  <c r="M7" i="31"/>
  <c r="G21" i="9"/>
  <c r="G27" i="9" s="1"/>
  <c r="G10" i="1" s="1"/>
  <c r="N13" i="9"/>
  <c r="N23" i="9"/>
  <c r="H13" i="10"/>
  <c r="C25" i="13"/>
  <c r="C15" i="1" s="1"/>
  <c r="E20" i="25"/>
  <c r="E24" i="25" s="1"/>
  <c r="E30" i="1" s="1"/>
  <c r="L16" i="5"/>
  <c r="L25" i="9"/>
  <c r="L6" i="10"/>
  <c r="I8" i="10"/>
  <c r="J8" i="10" s="1"/>
  <c r="L17" i="11"/>
  <c r="L18" i="11" s="1"/>
  <c r="L13" i="12"/>
  <c r="M13" i="12" s="1"/>
  <c r="N13" i="12" s="1"/>
  <c r="G20" i="20"/>
  <c r="G23" i="1" s="1"/>
  <c r="M25" i="9"/>
  <c r="H19" i="10"/>
  <c r="H11" i="1" s="1"/>
  <c r="L16" i="22"/>
  <c r="J17" i="11"/>
  <c r="G32" i="12"/>
  <c r="G36" i="12" s="1"/>
  <c r="G13" i="1" s="1"/>
  <c r="E23" i="23"/>
  <c r="E28" i="1" s="1"/>
  <c r="L8" i="24"/>
  <c r="M8" i="24" s="1"/>
  <c r="N8" i="24" s="1"/>
  <c r="E28" i="24"/>
  <c r="E32" i="24" s="1"/>
  <c r="E29" i="1" s="1"/>
  <c r="F20" i="25"/>
  <c r="F24" i="25" s="1"/>
  <c r="F30" i="1" s="1"/>
  <c r="D24" i="25"/>
  <c r="D30" i="1" s="1"/>
  <c r="F15" i="16"/>
  <c r="F19" i="16" s="1"/>
  <c r="F19" i="1" s="1"/>
  <c r="F25" i="1" s="1"/>
  <c r="L13" i="17"/>
  <c r="L17" i="17" s="1"/>
  <c r="M10" i="17"/>
  <c r="D20" i="19"/>
  <c r="D22" i="1" s="1"/>
  <c r="D25" i="1" s="1"/>
  <c r="C21" i="26"/>
  <c r="I30" i="12"/>
  <c r="J30" i="12" s="1"/>
  <c r="I23" i="13"/>
  <c r="J23" i="13" s="1"/>
  <c r="L22" i="13"/>
  <c r="L12" i="23"/>
  <c r="L18" i="23" s="1"/>
  <c r="G23" i="23"/>
  <c r="G28" i="1" s="1"/>
  <c r="H21" i="31"/>
  <c r="H31" i="1" s="1"/>
  <c r="L6" i="26"/>
  <c r="D21" i="26"/>
  <c r="D32" i="1" s="1"/>
  <c r="I11" i="9"/>
  <c r="J11" i="9" s="1"/>
  <c r="C18" i="14"/>
  <c r="C24" i="14" s="1"/>
  <c r="C16" i="1" s="1"/>
  <c r="E24" i="14"/>
  <c r="E16" i="1" s="1"/>
  <c r="H15" i="16"/>
  <c r="H19" i="16" s="1"/>
  <c r="H19" i="1" s="1"/>
  <c r="G13" i="17"/>
  <c r="G17" i="17" s="1"/>
  <c r="G20" i="1" s="1"/>
  <c r="C16" i="19"/>
  <c r="C20" i="19" s="1"/>
  <c r="C22" i="1" s="1"/>
  <c r="C13" i="21"/>
  <c r="C24" i="1" s="1"/>
  <c r="E34" i="22"/>
  <c r="E48" i="22" s="1"/>
  <c r="E26" i="1" s="1"/>
  <c r="L24" i="22"/>
  <c r="M24" i="22" s="1"/>
  <c r="N24" i="22" s="1"/>
  <c r="M6" i="23"/>
  <c r="L18" i="24"/>
  <c r="I15" i="26"/>
  <c r="J15" i="26" s="1"/>
  <c r="E21" i="26"/>
  <c r="L12" i="12"/>
  <c r="M12" i="12" s="1"/>
  <c r="N12" i="12" s="1"/>
  <c r="I12" i="13"/>
  <c r="J12" i="13" s="1"/>
  <c r="I15" i="13"/>
  <c r="J15" i="13" s="1"/>
  <c r="L14" i="13"/>
  <c r="D25" i="13"/>
  <c r="D15" i="1" s="1"/>
  <c r="I10" i="16"/>
  <c r="J10" i="16" s="1"/>
  <c r="L6" i="13"/>
  <c r="G24" i="14"/>
  <c r="G16" i="1" s="1"/>
  <c r="L6" i="16"/>
  <c r="I13" i="16"/>
  <c r="J13" i="16" s="1"/>
  <c r="I25" i="22"/>
  <c r="J25" i="22" s="1"/>
  <c r="I17" i="31"/>
  <c r="J17" i="31" s="1"/>
  <c r="G17" i="26"/>
  <c r="G21" i="26" s="1"/>
  <c r="I9" i="32"/>
  <c r="J9" i="32" s="1"/>
  <c r="I9" i="15"/>
  <c r="J9" i="15" s="1"/>
  <c r="I12" i="23"/>
  <c r="J12" i="23" s="1"/>
  <c r="M15" i="24"/>
  <c r="F33" i="1" l="1"/>
  <c r="M15" i="22"/>
  <c r="L20" i="22"/>
  <c r="C25" i="1"/>
  <c r="M15" i="31"/>
  <c r="I24" i="25"/>
  <c r="J24" i="25" s="1"/>
  <c r="L14" i="19"/>
  <c r="L16" i="19" s="1"/>
  <c r="L20" i="19" s="1"/>
  <c r="M14" i="19"/>
  <c r="M16" i="19" s="1"/>
  <c r="M20" i="19" s="1"/>
  <c r="L22" i="1" s="1"/>
  <c r="N16" i="19"/>
  <c r="N20" i="19" s="1"/>
  <c r="L16" i="9"/>
  <c r="L21" i="9" s="1"/>
  <c r="L27" i="9" s="1"/>
  <c r="J19" i="7"/>
  <c r="H25" i="1"/>
  <c r="H17" i="1"/>
  <c r="H33" i="1" s="1"/>
  <c r="G32" i="1"/>
  <c r="E32" i="1"/>
  <c r="C32" i="1"/>
  <c r="L8" i="5"/>
  <c r="L20" i="25"/>
  <c r="L24" i="25" s="1"/>
  <c r="K30" i="1" s="1"/>
  <c r="M9" i="12"/>
  <c r="N16" i="9"/>
  <c r="L21" i="6"/>
  <c r="L26" i="6" s="1"/>
  <c r="M18" i="6"/>
  <c r="M19" i="6" s="1"/>
  <c r="M21" i="6" s="1"/>
  <c r="M26" i="6" s="1"/>
  <c r="J17" i="13"/>
  <c r="I18" i="13"/>
  <c r="J18" i="13" s="1"/>
  <c r="L24" i="11"/>
  <c r="M22" i="1"/>
  <c r="K8" i="1"/>
  <c r="K20" i="1"/>
  <c r="L8" i="1"/>
  <c r="K22" i="1"/>
  <c r="L11" i="9"/>
  <c r="K24" i="1"/>
  <c r="M16" i="9"/>
  <c r="L10" i="4"/>
  <c r="L15" i="4" s="1"/>
  <c r="M6" i="4"/>
  <c r="N6" i="4" s="1"/>
  <c r="I21" i="6"/>
  <c r="J21" i="6" s="1"/>
  <c r="L9" i="15"/>
  <c r="L11" i="15" s="1"/>
  <c r="L16" i="15" s="1"/>
  <c r="D17" i="1"/>
  <c r="D33" i="1" s="1"/>
  <c r="M12" i="16"/>
  <c r="M13" i="16" s="1"/>
  <c r="L14" i="20"/>
  <c r="M13" i="20"/>
  <c r="L15" i="11"/>
  <c r="I23" i="8"/>
  <c r="I28" i="8" s="1"/>
  <c r="M20" i="25"/>
  <c r="M24" i="25" s="1"/>
  <c r="N11" i="9"/>
  <c r="L9" i="32"/>
  <c r="L11" i="32" s="1"/>
  <c r="L15" i="32" s="1"/>
  <c r="L13" i="24"/>
  <c r="L28" i="24" s="1"/>
  <c r="L32" i="24" s="1"/>
  <c r="L21" i="8"/>
  <c r="L23" i="8" s="1"/>
  <c r="L28" i="8" s="1"/>
  <c r="L12" i="3"/>
  <c r="L14" i="3" s="1"/>
  <c r="L19" i="3" s="1"/>
  <c r="N6" i="25"/>
  <c r="N11" i="25" s="1"/>
  <c r="N20" i="25" s="1"/>
  <c r="N24" i="25" s="1"/>
  <c r="N7" i="7"/>
  <c r="N10" i="7" s="1"/>
  <c r="L11" i="31"/>
  <c r="L17" i="31" s="1"/>
  <c r="L21" i="31" s="1"/>
  <c r="M15" i="11"/>
  <c r="I16" i="19"/>
  <c r="I20" i="19" s="1"/>
  <c r="M6" i="20"/>
  <c r="L11" i="20"/>
  <c r="M6" i="32"/>
  <c r="M9" i="32" s="1"/>
  <c r="I19" i="5"/>
  <c r="J19" i="5" s="1"/>
  <c r="M10" i="10"/>
  <c r="M11" i="10" s="1"/>
  <c r="N6" i="21"/>
  <c r="N7" i="21" s="1"/>
  <c r="N9" i="21" s="1"/>
  <c r="N13" i="21" s="1"/>
  <c r="M7" i="21"/>
  <c r="M9" i="21" s="1"/>
  <c r="M13" i="21" s="1"/>
  <c r="I16" i="20"/>
  <c r="J11" i="20"/>
  <c r="L21" i="23"/>
  <c r="L23" i="23" s="1"/>
  <c r="N18" i="6"/>
  <c r="I19" i="18"/>
  <c r="M6" i="14"/>
  <c r="L10" i="14"/>
  <c r="N15" i="18"/>
  <c r="N19" i="18" s="1"/>
  <c r="M11" i="9"/>
  <c r="I19" i="9"/>
  <c r="J19" i="9" s="1"/>
  <c r="J18" i="9"/>
  <c r="M13" i="18"/>
  <c r="M15" i="18" s="1"/>
  <c r="M19" i="18" s="1"/>
  <c r="I28" i="24"/>
  <c r="L13" i="18"/>
  <c r="L15" i="18" s="1"/>
  <c r="L19" i="18" s="1"/>
  <c r="L13" i="14"/>
  <c r="M12" i="14"/>
  <c r="I17" i="26"/>
  <c r="J17" i="26" s="1"/>
  <c r="I32" i="12"/>
  <c r="J32" i="12" s="1"/>
  <c r="E12" i="1"/>
  <c r="E36" i="12"/>
  <c r="E9" i="1"/>
  <c r="N25" i="22"/>
  <c r="L8" i="22"/>
  <c r="I34" i="22"/>
  <c r="J34" i="22" s="1"/>
  <c r="L25" i="22"/>
  <c r="M6" i="22"/>
  <c r="M8" i="22" s="1"/>
  <c r="M25" i="22"/>
  <c r="N20" i="23"/>
  <c r="N21" i="23" s="1"/>
  <c r="M21" i="23"/>
  <c r="L8" i="10"/>
  <c r="L13" i="10" s="1"/>
  <c r="L19" i="10" s="1"/>
  <c r="M6" i="10"/>
  <c r="N7" i="31"/>
  <c r="M11" i="31"/>
  <c r="M17" i="31" s="1"/>
  <c r="M21" i="31" s="1"/>
  <c r="M12" i="3"/>
  <c r="M14" i="3" s="1"/>
  <c r="M19" i="3" s="1"/>
  <c r="N6" i="3"/>
  <c r="L22" i="14"/>
  <c r="M20" i="14"/>
  <c r="L15" i="14"/>
  <c r="I10" i="4"/>
  <c r="J10" i="4" s="1"/>
  <c r="M11" i="17"/>
  <c r="M13" i="17" s="1"/>
  <c r="M17" i="17" s="1"/>
  <c r="N10" i="17"/>
  <c r="M30" i="12"/>
  <c r="N11" i="12"/>
  <c r="I14" i="3"/>
  <c r="J14" i="3" s="1"/>
  <c r="G17" i="1"/>
  <c r="G33" i="1" s="1"/>
  <c r="L30" i="12"/>
  <c r="L32" i="12" s="1"/>
  <c r="L36" i="12" s="1"/>
  <c r="N9" i="8"/>
  <c r="N11" i="8" s="1"/>
  <c r="E23" i="1"/>
  <c r="I11" i="15"/>
  <c r="J11" i="15" s="1"/>
  <c r="I11" i="32"/>
  <c r="J11" i="32" s="1"/>
  <c r="C17" i="1"/>
  <c r="C33" i="1" s="1"/>
  <c r="M8" i="5"/>
  <c r="N6" i="5"/>
  <c r="M22" i="13"/>
  <c r="L17" i="13"/>
  <c r="L18" i="13" s="1"/>
  <c r="L23" i="13"/>
  <c r="L15" i="26"/>
  <c r="M16" i="5"/>
  <c r="L17" i="5"/>
  <c r="N13" i="24"/>
  <c r="I21" i="31"/>
  <c r="I16" i="14"/>
  <c r="J16" i="14" s="1"/>
  <c r="L10" i="16"/>
  <c r="L15" i="16" s="1"/>
  <c r="L19" i="16" s="1"/>
  <c r="M6" i="16"/>
  <c r="N6" i="23"/>
  <c r="M12" i="23"/>
  <c r="M18" i="23" s="1"/>
  <c r="M16" i="22"/>
  <c r="I18" i="23"/>
  <c r="J18" i="23" s="1"/>
  <c r="M14" i="13"/>
  <c r="L15" i="13"/>
  <c r="M6" i="26"/>
  <c r="M11" i="26" s="1"/>
  <c r="L11" i="26"/>
  <c r="M18" i="24"/>
  <c r="N15" i="24"/>
  <c r="N18" i="24" s="1"/>
  <c r="L12" i="13"/>
  <c r="M6" i="13"/>
  <c r="I15" i="16"/>
  <c r="J15" i="16" s="1"/>
  <c r="I18" i="11"/>
  <c r="J18" i="11" s="1"/>
  <c r="M17" i="11"/>
  <c r="M18" i="11" s="1"/>
  <c r="M24" i="11"/>
  <c r="N23" i="11"/>
  <c r="I13" i="10"/>
  <c r="J13" i="10" s="1"/>
  <c r="N18" i="9"/>
  <c r="N19" i="9" s="1"/>
  <c r="N25" i="9"/>
  <c r="I24" i="7"/>
  <c r="J24" i="7" s="1"/>
  <c r="M6" i="11"/>
  <c r="L11" i="11"/>
  <c r="M13" i="24"/>
  <c r="M21" i="8"/>
  <c r="N13" i="8"/>
  <c r="N21" i="8" s="1"/>
  <c r="N15" i="22" l="1"/>
  <c r="M20" i="22"/>
  <c r="M32" i="12"/>
  <c r="M36" i="12" s="1"/>
  <c r="I30" i="1"/>
  <c r="O30" i="1" s="1"/>
  <c r="I26" i="6"/>
  <c r="I7" i="1" s="1"/>
  <c r="O7" i="1" s="1"/>
  <c r="N10" i="10"/>
  <c r="N11" i="10" s="1"/>
  <c r="I20" i="13"/>
  <c r="J20" i="13" s="1"/>
  <c r="L19" i="5"/>
  <c r="L24" i="5" s="1"/>
  <c r="K6" i="1" s="1"/>
  <c r="L7" i="1"/>
  <c r="M21" i="9"/>
  <c r="M27" i="9" s="1"/>
  <c r="K18" i="1"/>
  <c r="J28" i="8"/>
  <c r="M30" i="1"/>
  <c r="L31" i="1"/>
  <c r="K21" i="1"/>
  <c r="M24" i="1"/>
  <c r="K31" i="1"/>
  <c r="J21" i="31"/>
  <c r="L30" i="1"/>
  <c r="K11" i="1"/>
  <c r="L21" i="1"/>
  <c r="K4" i="1"/>
  <c r="K5" i="1"/>
  <c r="K7" i="1"/>
  <c r="J19" i="18"/>
  <c r="M8" i="4"/>
  <c r="M10" i="4" s="1"/>
  <c r="M15" i="4" s="1"/>
  <c r="L13" i="1"/>
  <c r="J23" i="8"/>
  <c r="K28" i="1"/>
  <c r="K9" i="1"/>
  <c r="K29" i="1"/>
  <c r="K13" i="1"/>
  <c r="L20" i="1"/>
  <c r="K10" i="1"/>
  <c r="K19" i="1"/>
  <c r="K14" i="1"/>
  <c r="L4" i="1"/>
  <c r="M21" i="1"/>
  <c r="L24" i="1"/>
  <c r="D5" i="33"/>
  <c r="J16" i="19"/>
  <c r="N12" i="16"/>
  <c r="N13" i="16" s="1"/>
  <c r="L16" i="20"/>
  <c r="L20" i="20" s="1"/>
  <c r="M14" i="20"/>
  <c r="N13" i="20"/>
  <c r="N14" i="20" s="1"/>
  <c r="N6" i="32"/>
  <c r="N9" i="32" s="1"/>
  <c r="N11" i="32" s="1"/>
  <c r="N15" i="32" s="1"/>
  <c r="M11" i="32"/>
  <c r="M15" i="32" s="1"/>
  <c r="I21" i="9"/>
  <c r="J21" i="9" s="1"/>
  <c r="L17" i="26"/>
  <c r="L21" i="26" s="1"/>
  <c r="L20" i="11"/>
  <c r="L26" i="11" s="1"/>
  <c r="N19" i="7"/>
  <c r="N24" i="7" s="1"/>
  <c r="L20" i="13"/>
  <c r="L25" i="13" s="1"/>
  <c r="I21" i="1"/>
  <c r="O21" i="1" s="1"/>
  <c r="M23" i="8"/>
  <c r="M28" i="8" s="1"/>
  <c r="I36" i="12"/>
  <c r="I13" i="1" s="1"/>
  <c r="C5" i="33"/>
  <c r="J20" i="19"/>
  <c r="I22" i="1"/>
  <c r="O22" i="1" s="1"/>
  <c r="M13" i="14"/>
  <c r="N12" i="14"/>
  <c r="N13" i="14" s="1"/>
  <c r="M28" i="24"/>
  <c r="M32" i="24" s="1"/>
  <c r="I20" i="20"/>
  <c r="J16" i="20"/>
  <c r="N19" i="6"/>
  <c r="N21" i="6" s="1"/>
  <c r="N26" i="6" s="1"/>
  <c r="I21" i="26"/>
  <c r="I24" i="5"/>
  <c r="J28" i="24"/>
  <c r="I32" i="24"/>
  <c r="M10" i="14"/>
  <c r="N6" i="14"/>
  <c r="N10" i="14" s="1"/>
  <c r="N6" i="20"/>
  <c r="M11" i="20"/>
  <c r="E13" i="1"/>
  <c r="E17" i="1" s="1"/>
  <c r="N6" i="22"/>
  <c r="N8" i="22" s="1"/>
  <c r="I48" i="22"/>
  <c r="I19" i="16"/>
  <c r="M23" i="23"/>
  <c r="I15" i="32"/>
  <c r="N23" i="8"/>
  <c r="N28" i="8" s="1"/>
  <c r="N6" i="10"/>
  <c r="M8" i="10"/>
  <c r="M13" i="10" s="1"/>
  <c r="M19" i="10" s="1"/>
  <c r="N21" i="9"/>
  <c r="N27" i="9" s="1"/>
  <c r="N11" i="31"/>
  <c r="N17" i="31" s="1"/>
  <c r="N21" i="31" s="1"/>
  <c r="N6" i="13"/>
  <c r="M12" i="13"/>
  <c r="N6" i="26"/>
  <c r="N11" i="26" s="1"/>
  <c r="N12" i="23"/>
  <c r="N18" i="23" s="1"/>
  <c r="N23" i="23" s="1"/>
  <c r="M17" i="5"/>
  <c r="M19" i="5" s="1"/>
  <c r="M24" i="5" s="1"/>
  <c r="N16" i="5"/>
  <c r="N17" i="5" s="1"/>
  <c r="I16" i="15"/>
  <c r="N30" i="12"/>
  <c r="N32" i="12" s="1"/>
  <c r="N36" i="12" s="1"/>
  <c r="M9" i="15"/>
  <c r="M11" i="15" s="1"/>
  <c r="M16" i="15" s="1"/>
  <c r="I8" i="1"/>
  <c r="O8" i="1" s="1"/>
  <c r="N28" i="24"/>
  <c r="N32" i="24" s="1"/>
  <c r="I9" i="1"/>
  <c r="N12" i="3"/>
  <c r="N14" i="3" s="1"/>
  <c r="N19" i="3" s="1"/>
  <c r="I31" i="1"/>
  <c r="O31" i="1" s="1"/>
  <c r="N14" i="13"/>
  <c r="N15" i="13" s="1"/>
  <c r="M15" i="13"/>
  <c r="M10" i="16"/>
  <c r="M15" i="16" s="1"/>
  <c r="M19" i="16" s="1"/>
  <c r="N6" i="16"/>
  <c r="N15" i="26"/>
  <c r="M15" i="26"/>
  <c r="M11" i="11"/>
  <c r="M20" i="11" s="1"/>
  <c r="M26" i="11" s="1"/>
  <c r="N6" i="11"/>
  <c r="I19" i="10"/>
  <c r="I23" i="23"/>
  <c r="N8" i="4"/>
  <c r="N10" i="4" s="1"/>
  <c r="N15" i="4" s="1"/>
  <c r="I20" i="11"/>
  <c r="J20" i="11" s="1"/>
  <c r="E25" i="1"/>
  <c r="E33" i="1" s="1"/>
  <c r="I15" i="4"/>
  <c r="N8" i="5"/>
  <c r="N17" i="11"/>
  <c r="N18" i="11" s="1"/>
  <c r="N24" i="11"/>
  <c r="I19" i="3"/>
  <c r="L16" i="14"/>
  <c r="L18" i="14" s="1"/>
  <c r="L24" i="14" s="1"/>
  <c r="N16" i="22"/>
  <c r="M34" i="22"/>
  <c r="M48" i="22" s="1"/>
  <c r="N22" i="13"/>
  <c r="M17" i="13"/>
  <c r="M18" i="13" s="1"/>
  <c r="M23" i="13"/>
  <c r="N11" i="17"/>
  <c r="N13" i="17" s="1"/>
  <c r="N17" i="17" s="1"/>
  <c r="N20" i="14"/>
  <c r="M15" i="14"/>
  <c r="M22" i="14"/>
  <c r="I18" i="14"/>
  <c r="J18" i="14" s="1"/>
  <c r="N20" i="22" l="1"/>
  <c r="N34" i="22" s="1"/>
  <c r="N48" i="22" s="1"/>
  <c r="C21" i="33"/>
  <c r="C22" i="33" s="1"/>
  <c r="C23" i="33" s="1"/>
  <c r="J26" i="6"/>
  <c r="I27" i="9"/>
  <c r="I10" i="1" s="1"/>
  <c r="O10" i="1" s="1"/>
  <c r="C11" i="33"/>
  <c r="D11" i="33" s="1"/>
  <c r="D12" i="33" s="1"/>
  <c r="D13" i="33" s="1"/>
  <c r="I25" i="13"/>
  <c r="J25" i="13" s="1"/>
  <c r="L10" i="1"/>
  <c r="M7" i="1"/>
  <c r="K12" i="1"/>
  <c r="L12" i="1"/>
  <c r="M13" i="1"/>
  <c r="J19" i="16"/>
  <c r="K32" i="1"/>
  <c r="L26" i="1"/>
  <c r="J16" i="15"/>
  <c r="M31" i="1"/>
  <c r="J36" i="12"/>
  <c r="L28" i="1"/>
  <c r="M10" i="1"/>
  <c r="L14" i="1"/>
  <c r="K16" i="1"/>
  <c r="M5" i="1"/>
  <c r="L6" i="1"/>
  <c r="L11" i="1"/>
  <c r="L29" i="1"/>
  <c r="J15" i="4"/>
  <c r="M4" i="1"/>
  <c r="M29" i="1"/>
  <c r="J48" i="22"/>
  <c r="L9" i="1"/>
  <c r="J19" i="3"/>
  <c r="J23" i="23"/>
  <c r="M14" i="1"/>
  <c r="M9" i="1"/>
  <c r="J21" i="26"/>
  <c r="M20" i="1"/>
  <c r="M28" i="1"/>
  <c r="J24" i="5"/>
  <c r="K15" i="1"/>
  <c r="J19" i="10"/>
  <c r="L19" i="1"/>
  <c r="L18" i="1"/>
  <c r="J15" i="32"/>
  <c r="I14" i="1"/>
  <c r="M8" i="1"/>
  <c r="K23" i="1"/>
  <c r="K25" i="1" s="1"/>
  <c r="L5" i="1"/>
  <c r="N19" i="5"/>
  <c r="N24" i="5" s="1"/>
  <c r="M16" i="20"/>
  <c r="M20" i="20" s="1"/>
  <c r="I6" i="1"/>
  <c r="O6" i="1" s="1"/>
  <c r="I32" i="1"/>
  <c r="O32" i="1" s="1"/>
  <c r="M17" i="26"/>
  <c r="M21" i="26" s="1"/>
  <c r="M20" i="13"/>
  <c r="M25" i="13" s="1"/>
  <c r="J32" i="24"/>
  <c r="I29" i="1"/>
  <c r="O29" i="1" s="1"/>
  <c r="J20" i="20"/>
  <c r="I23" i="1"/>
  <c r="O23" i="1" s="1"/>
  <c r="N11" i="20"/>
  <c r="N16" i="20"/>
  <c r="N20" i="20" s="1"/>
  <c r="O13" i="1"/>
  <c r="I26" i="1"/>
  <c r="E5" i="33"/>
  <c r="N17" i="13"/>
  <c r="N18" i="13" s="1"/>
  <c r="N23" i="13"/>
  <c r="N12" i="13"/>
  <c r="N8" i="10"/>
  <c r="N13" i="10" s="1"/>
  <c r="N19" i="10" s="1"/>
  <c r="I19" i="1"/>
  <c r="N15" i="14"/>
  <c r="N22" i="14"/>
  <c r="N11" i="11"/>
  <c r="N20" i="11" s="1"/>
  <c r="N26" i="11" s="1"/>
  <c r="I28" i="1"/>
  <c r="N10" i="16"/>
  <c r="N15" i="16" s="1"/>
  <c r="N19" i="16" s="1"/>
  <c r="I5" i="1"/>
  <c r="O5" i="1" s="1"/>
  <c r="O9" i="1"/>
  <c r="N9" i="15"/>
  <c r="N11" i="15" s="1"/>
  <c r="N16" i="15" s="1"/>
  <c r="I24" i="14"/>
  <c r="I4" i="1"/>
  <c r="M16" i="14"/>
  <c r="M18" i="14" s="1"/>
  <c r="M24" i="14" s="1"/>
  <c r="I26" i="11"/>
  <c r="I11" i="1"/>
  <c r="O11" i="1" s="1"/>
  <c r="I18" i="1"/>
  <c r="N17" i="26"/>
  <c r="N21" i="26" s="1"/>
  <c r="O26" i="1" l="1"/>
  <c r="D21" i="33"/>
  <c r="D22" i="33" s="1"/>
  <c r="D23" i="33" s="1"/>
  <c r="E21" i="33"/>
  <c r="E25" i="33" s="1"/>
  <c r="I15" i="1"/>
  <c r="O15" i="1" s="1"/>
  <c r="J27" i="9"/>
  <c r="E11" i="33"/>
  <c r="C12" i="33"/>
  <c r="K17" i="1"/>
  <c r="N20" i="13"/>
  <c r="N25" i="13" s="1"/>
  <c r="L16" i="1"/>
  <c r="M19" i="1"/>
  <c r="L23" i="1"/>
  <c r="L25" i="1" s="1"/>
  <c r="M23" i="1"/>
  <c r="M12" i="1"/>
  <c r="M6" i="1"/>
  <c r="J24" i="14"/>
  <c r="M32" i="1"/>
  <c r="L15" i="1"/>
  <c r="M18" i="1"/>
  <c r="M26" i="1"/>
  <c r="J26" i="11"/>
  <c r="M11" i="1"/>
  <c r="L32" i="1"/>
  <c r="I16" i="1"/>
  <c r="O16" i="1" s="1"/>
  <c r="O4" i="1"/>
  <c r="N16" i="14"/>
  <c r="N18" i="14" s="1"/>
  <c r="N24" i="14" s="1"/>
  <c r="O19" i="1"/>
  <c r="I25" i="1"/>
  <c r="O25" i="1" s="1"/>
  <c r="I12" i="1"/>
  <c r="E22" i="33" l="1"/>
  <c r="E27" i="33"/>
  <c r="F26" i="33" s="1"/>
  <c r="M25" i="1"/>
  <c r="L17" i="1"/>
  <c r="L33" i="1" s="1"/>
  <c r="C13" i="33"/>
  <c r="E12" i="33"/>
  <c r="E15" i="33"/>
  <c r="M15" i="1"/>
  <c r="I17" i="1"/>
  <c r="I33" i="1" s="1"/>
  <c r="F5" i="33" s="1"/>
  <c r="M16" i="1"/>
  <c r="O12" i="1"/>
  <c r="E14" i="33" l="1"/>
  <c r="F12" i="33"/>
  <c r="E23" i="33"/>
  <c r="E24" i="33"/>
  <c r="E17" i="33"/>
  <c r="F16" i="33" s="1"/>
  <c r="H5" i="33"/>
  <c r="F11" i="33"/>
  <c r="E13" i="33"/>
  <c r="M17" i="1"/>
  <c r="M33" i="1" s="1"/>
  <c r="O33" i="1"/>
  <c r="O17" i="1"/>
  <c r="H21" i="33" l="1"/>
  <c r="H25" i="33" s="1"/>
  <c r="F21" i="33"/>
  <c r="G12" i="33"/>
  <c r="G11" i="33" s="1"/>
  <c r="C35" i="33"/>
  <c r="F14" i="33"/>
  <c r="F13" i="33"/>
  <c r="I5" i="33"/>
  <c r="H22" i="33" l="1"/>
  <c r="I21" i="33"/>
  <c r="I25" i="33" s="1"/>
  <c r="F15" i="33"/>
  <c r="G13" i="33"/>
  <c r="H12" i="33"/>
  <c r="H13" i="33" s="1"/>
  <c r="G14" i="33"/>
  <c r="E35" i="33"/>
  <c r="D35" i="33"/>
  <c r="C36" i="33"/>
  <c r="C39" i="33"/>
  <c r="C37" i="33"/>
  <c r="C32" i="33"/>
  <c r="C38" i="33"/>
  <c r="C34" i="33"/>
  <c r="C33" i="33"/>
  <c r="F17" i="33" l="1"/>
  <c r="G16" i="33" s="1"/>
  <c r="H23" i="33"/>
  <c r="I22" i="33"/>
  <c r="F22" i="33"/>
  <c r="F24" i="33" s="1"/>
  <c r="F27" i="33"/>
  <c r="G26" i="33" s="1"/>
  <c r="H11" i="33"/>
  <c r="H15" i="33" s="1"/>
  <c r="I12" i="33"/>
  <c r="I11" i="33" s="1"/>
  <c r="I15" i="33" s="1"/>
  <c r="H14" i="33"/>
  <c r="D38" i="33"/>
  <c r="E38" i="33"/>
  <c r="D32" i="33"/>
  <c r="E32" i="33"/>
  <c r="D39" i="33"/>
  <c r="E39" i="33"/>
  <c r="D34" i="33"/>
  <c r="E34" i="33"/>
  <c r="E37" i="33"/>
  <c r="D37" i="33"/>
  <c r="D36" i="33"/>
  <c r="E36" i="33"/>
  <c r="D33" i="33"/>
  <c r="E33" i="33"/>
  <c r="F23" i="33" l="1"/>
  <c r="C45" i="33"/>
  <c r="E45" i="33" s="1"/>
  <c r="I23" i="33"/>
  <c r="I24" i="33"/>
  <c r="I13" i="33"/>
  <c r="I14" i="33"/>
  <c r="C47" i="33" l="1"/>
  <c r="E47" i="33" s="1"/>
  <c r="C42" i="33"/>
  <c r="D42" i="33" s="1"/>
  <c r="C48" i="33"/>
  <c r="E48" i="33" s="1"/>
  <c r="D45" i="33"/>
  <c r="C43" i="33"/>
  <c r="E43" i="33" s="1"/>
  <c r="C46" i="33"/>
  <c r="D46" i="33" s="1"/>
  <c r="C49" i="33"/>
  <c r="E49" i="33" s="1"/>
  <c r="C44" i="33"/>
  <c r="D44" i="33" s="1"/>
  <c r="D48" i="33" l="1"/>
  <c r="E42" i="33"/>
  <c r="D47" i="33"/>
  <c r="D43" i="33"/>
  <c r="E46" i="33"/>
  <c r="D49" i="33"/>
  <c r="E44" i="33"/>
  <c r="L34" i="22"/>
  <c r="L48" i="22" s="1"/>
  <c r="K26" i="1" s="1"/>
  <c r="K33" i="1" s="1"/>
  <c r="G5" i="33" l="1"/>
  <c r="G21" i="33" l="1"/>
  <c r="G25" i="33" s="1"/>
  <c r="G15" i="33"/>
  <c r="G17" i="33" l="1"/>
  <c r="H16" i="33" s="1"/>
  <c r="H17" i="33" s="1"/>
  <c r="I16" i="33" s="1"/>
  <c r="I17" i="33" s="1"/>
  <c r="G22" i="33"/>
  <c r="H24" i="33" s="1"/>
  <c r="G27" i="33"/>
  <c r="H26" i="33" s="1"/>
  <c r="H27" i="33" s="1"/>
  <c r="I26" i="33" s="1"/>
  <c r="I27" i="33" s="1"/>
  <c r="G23" i="33" l="1"/>
  <c r="G24" i="33"/>
</calcChain>
</file>

<file path=xl/sharedStrings.xml><?xml version="1.0" encoding="utf-8"?>
<sst xmlns="http://schemas.openxmlformats.org/spreadsheetml/2006/main" count="1243" uniqueCount="277">
  <si>
    <t>Arts, Heritage and Museums</t>
  </si>
  <si>
    <t>CCTV</t>
  </si>
  <si>
    <t>Events, Grants and Civic</t>
  </si>
  <si>
    <t>Marina Theatre</t>
  </si>
  <si>
    <t>Sparrows Nest</t>
  </si>
  <si>
    <t>Belle Vue Park</t>
  </si>
  <si>
    <t>Kensington Gardens</t>
  </si>
  <si>
    <t>Play Areas</t>
  </si>
  <si>
    <t>Denes Oval</t>
  </si>
  <si>
    <t>Normanston Park</t>
  </si>
  <si>
    <t>Pakefield Street PC</t>
  </si>
  <si>
    <t>Triangle Market PC</t>
  </si>
  <si>
    <t>Kensington Gardens PC</t>
  </si>
  <si>
    <t>Kirkley Cliff Road PC</t>
  </si>
  <si>
    <t>Lowestoft Cemetery PC</t>
  </si>
  <si>
    <t>Fen Park PC</t>
  </si>
  <si>
    <t>Triangle Market</t>
  </si>
  <si>
    <t>Miscellaneous</t>
  </si>
  <si>
    <t>Offices</t>
  </si>
  <si>
    <t>Town Hall</t>
  </si>
  <si>
    <t>Admininstration</t>
  </si>
  <si>
    <t>Salaries</t>
  </si>
  <si>
    <t>2017/18 Actual</t>
  </si>
  <si>
    <t>2017/18 Budget</t>
  </si>
  <si>
    <t>2018/19 Initial Budget</t>
  </si>
  <si>
    <t>2018/19 Virements</t>
  </si>
  <si>
    <t>2018/19 Current Budget</t>
  </si>
  <si>
    <t>2019/20 Budget</t>
  </si>
  <si>
    <t>Notes</t>
  </si>
  <si>
    <t>2020/21 Budget</t>
  </si>
  <si>
    <t>2021/22 Budget</t>
  </si>
  <si>
    <t>2022/23 Budget</t>
  </si>
  <si>
    <t>Subtotal</t>
  </si>
  <si>
    <t>Net Expenditure</t>
  </si>
  <si>
    <t>Total Income</t>
  </si>
  <si>
    <t>Total Expenditure</t>
  </si>
  <si>
    <t>£</t>
  </si>
  <si>
    <t>RPI Rate</t>
  </si>
  <si>
    <t>Repairs and Maintenance</t>
  </si>
  <si>
    <t>Lowestoft Collection</t>
  </si>
  <si>
    <t>Gas</t>
  </si>
  <si>
    <t>Electricity</t>
  </si>
  <si>
    <t>Utilities</t>
  </si>
  <si>
    <t>Water</t>
  </si>
  <si>
    <t>Property Lettings - Exempt</t>
  </si>
  <si>
    <t>Building up to an EMR of £50000</t>
  </si>
  <si>
    <t>Allotments, Open Spaces &amp; East of England Park</t>
  </si>
  <si>
    <t>Raphael Walk</t>
  </si>
  <si>
    <t>4 High Street</t>
  </si>
  <si>
    <t>Fen Park</t>
  </si>
  <si>
    <t>Britten Road Play Area</t>
  </si>
  <si>
    <t>Cotman Close Play Area</t>
  </si>
  <si>
    <t>Nightingale Road Play Area</t>
  </si>
  <si>
    <t>St Margarets Play Area</t>
  </si>
  <si>
    <t>Thirlmere Walk Play Area</t>
  </si>
  <si>
    <t>Whitton Green Play Area</t>
  </si>
  <si>
    <t>Whitton Estate Meeting Hall</t>
  </si>
  <si>
    <t>Drying Racks</t>
  </si>
  <si>
    <t>Insurance</t>
  </si>
  <si>
    <t>CCTV Investment</t>
  </si>
  <si>
    <t>Operation Charge</t>
  </si>
  <si>
    <t>CCTV Income</t>
  </si>
  <si>
    <t>Events</t>
  </si>
  <si>
    <t>Civic and Ceremonial</t>
  </si>
  <si>
    <t>Remembrance and Holocaust Day</t>
  </si>
  <si>
    <t>Grants</t>
  </si>
  <si>
    <t>Condition Survey</t>
  </si>
  <si>
    <t>Planned Maintenance</t>
  </si>
  <si>
    <t>Marina Theatre Trust Management Fee</t>
  </si>
  <si>
    <t>Repayment of Loan</t>
  </si>
  <si>
    <t>Addition to Marina Theatre Reserve</t>
  </si>
  <si>
    <t>Rent</t>
  </si>
  <si>
    <t>Allotments Administration Fee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</si>
  <si>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</si>
  <si>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</si>
  <si>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</si>
  <si>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</si>
  <si>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Waterways/Ponds</t>
  </si>
  <si>
    <t>Allotments Rental Income</t>
  </si>
  <si>
    <t>Business Rates</t>
  </si>
  <si>
    <t>Park Maintenance</t>
  </si>
  <si>
    <t>Bowling Club Maintenance</t>
  </si>
  <si>
    <t>Leisure Activities Grant</t>
  </si>
  <si>
    <t>Repairs and Maintenance Provision</t>
  </si>
  <si>
    <t xml:space="preserve">Leisure Activities Fees </t>
  </si>
  <si>
    <t>Property Lettings</t>
  </si>
  <si>
    <t>Building Maintenance</t>
  </si>
  <si>
    <t>Leisure Activities Fees</t>
  </si>
  <si>
    <t>Water - Kirkley Fen Park</t>
  </si>
  <si>
    <t>Play area Refurbishment Provision</t>
  </si>
  <si>
    <t>Kirkley Fen Park and Play Area</t>
  </si>
  <si>
    <t>Pollard Piece Play Area</t>
  </si>
  <si>
    <t>Marshams Piece Play Area</t>
  </si>
  <si>
    <t xml:space="preserve">Turnberry Close Playground </t>
  </si>
  <si>
    <t>Gunton Community Park Play Area</t>
  </si>
  <si>
    <t xml:space="preserve">London Road Play Equipment </t>
  </si>
  <si>
    <t>Pakefield Green Play Area (Wellington Road)</t>
  </si>
  <si>
    <t>Parkhill Play Area (Bentley Drive)</t>
  </si>
  <si>
    <t>Rosedale Park inc play area</t>
  </si>
  <si>
    <t>Play Areas - General</t>
  </si>
  <si>
    <t>Caravan and Camping</t>
  </si>
  <si>
    <t>Moved into Utilities</t>
  </si>
  <si>
    <t>Do not have an exact figure and are still waiting for 17/18's actual</t>
  </si>
  <si>
    <t>Moved into Admin - Insurance</t>
  </si>
  <si>
    <t>For 1/3 of a year</t>
  </si>
  <si>
    <t>Equal to Leisure Fees Income</t>
  </si>
  <si>
    <t>Community Engagement</t>
  </si>
  <si>
    <t>Unsure why we have a budget for Electricity</t>
  </si>
  <si>
    <t>Moved into Administration</t>
  </si>
  <si>
    <t>Moved into Adminstration</t>
  </si>
  <si>
    <t>Maintenace Charge</t>
  </si>
  <si>
    <t>Maintenance Charge</t>
  </si>
  <si>
    <t>No Figures</t>
  </si>
  <si>
    <t>Fen Park Public Convenience</t>
  </si>
  <si>
    <t>Miscellaneous and Reserves Contribution</t>
  </si>
  <si>
    <t>Gunton Residents Hall Repairs and Maintenance</t>
  </si>
  <si>
    <t>Whitton Estate Meeting Hall Repairs and Maintenance</t>
  </si>
  <si>
    <t>Links Road Car Park Maintenance</t>
  </si>
  <si>
    <t>Links Road Car Park Business Rates</t>
  </si>
  <si>
    <t>Repairs and Maintenace Provision</t>
  </si>
  <si>
    <t>Moved into Triangle Market Sheet</t>
  </si>
  <si>
    <t>Moved into East of England</t>
  </si>
  <si>
    <t>Uplands Children's Centre Property Lettings</t>
  </si>
  <si>
    <t>Parking</t>
  </si>
  <si>
    <t>Capital Repayment</t>
  </si>
  <si>
    <t>Service Charge</t>
  </si>
  <si>
    <t>Hamilton House Refurbishment</t>
  </si>
  <si>
    <t>Furniture and Equipment</t>
  </si>
  <si>
    <t>Meeting Room Lettings</t>
  </si>
  <si>
    <t>Includes EMR contribution for repayment after 5 years</t>
  </si>
  <si>
    <t>BID Levy</t>
  </si>
  <si>
    <t>Responsive Maintenance</t>
  </si>
  <si>
    <t>Moved into Repairs and Maintenance</t>
  </si>
  <si>
    <t>Equipment</t>
  </si>
  <si>
    <t>Office Supplies and Postage</t>
  </si>
  <si>
    <t>Printing</t>
  </si>
  <si>
    <t>Postage</t>
  </si>
  <si>
    <t>Merged into Office Supplies</t>
  </si>
  <si>
    <t>Professional Fees and Subscriptions</t>
  </si>
  <si>
    <t>Subscriptions</t>
  </si>
  <si>
    <t>Provision for legal costs</t>
  </si>
  <si>
    <t>Elections</t>
  </si>
  <si>
    <t>Merged into Professional Fees</t>
  </si>
  <si>
    <t>Travel Expenses</t>
  </si>
  <si>
    <t>Meeting Expenses</t>
  </si>
  <si>
    <t>IT and Telephones</t>
  </si>
  <si>
    <t>Bank Charges</t>
  </si>
  <si>
    <t>Internal Audit</t>
  </si>
  <si>
    <t>External Audit</t>
  </si>
  <si>
    <t>Budget Contingency and General Reserves Contribution</t>
  </si>
  <si>
    <t>Employers National Insurance</t>
  </si>
  <si>
    <t>Employers Superannuation</t>
  </si>
  <si>
    <t>Apprentices</t>
  </si>
  <si>
    <t>Training and Communications</t>
  </si>
  <si>
    <t>Total</t>
  </si>
  <si>
    <t>Allotments, Open Spaces</t>
  </si>
  <si>
    <t>Staff, Training and CPD</t>
  </si>
  <si>
    <t>Public Convenience</t>
  </si>
  <si>
    <t>Open Spaces</t>
  </si>
  <si>
    <t>Moved into Fen Park</t>
  </si>
  <si>
    <t>Fixed Costs</t>
  </si>
  <si>
    <t>Change from last year</t>
  </si>
  <si>
    <t>Arnolds Bequest Property Lettings</t>
  </si>
  <si>
    <t>Removed as should not be in budget</t>
  </si>
  <si>
    <t>Furniture &amp; Equipment</t>
  </si>
  <si>
    <t>Machine R&amp;M</t>
  </si>
  <si>
    <t>Materials</t>
  </si>
  <si>
    <t>Laundry</t>
  </si>
  <si>
    <t>Telecommunications</t>
  </si>
  <si>
    <t>Toilets Maintenance Charge</t>
  </si>
  <si>
    <t>Market Income</t>
  </si>
  <si>
    <t>Playgrounds off the Parklands</t>
  </si>
  <si>
    <t>20000 to include tablets, 1500 to build reserve for replacement</t>
  </si>
  <si>
    <t>Elections and Professional Fees</t>
  </si>
  <si>
    <t xml:space="preserve">Staffing Reserve </t>
  </si>
  <si>
    <t xml:space="preserve">Staffing Contingency </t>
  </si>
  <si>
    <t>Any underspend goes into Staffing EMR</t>
  </si>
  <si>
    <t>Max EMR of £100000</t>
  </si>
  <si>
    <t>Stoven Close</t>
  </si>
  <si>
    <t>Moved from Open Space</t>
  </si>
  <si>
    <t>Moved into Play Areas</t>
  </si>
  <si>
    <t>Toilet Maintenance</t>
  </si>
  <si>
    <t>Moved into Triangle Market - Utilities</t>
  </si>
  <si>
    <t>Fees and Charges</t>
  </si>
  <si>
    <t>Royal Green Business Rates</t>
  </si>
  <si>
    <t>Cleaning</t>
  </si>
  <si>
    <t>Not in 18/19</t>
  </si>
  <si>
    <t>Moved into KG Utilities</t>
  </si>
  <si>
    <t>Moved into KG</t>
  </si>
  <si>
    <t>Includes KG PC Utilities</t>
  </si>
  <si>
    <t>Percentage Change</t>
  </si>
  <si>
    <t>Parks Development and Infrastructure</t>
  </si>
  <si>
    <t>Festive Lights</t>
  </si>
  <si>
    <t>Capital Repairs</t>
  </si>
  <si>
    <t>Unidentifiable Utilities</t>
  </si>
  <si>
    <t>N/A</t>
  </si>
  <si>
    <t>Unbudgeted 2018 Income</t>
  </si>
  <si>
    <t>Donation</t>
  </si>
  <si>
    <t>Unknown VAT</t>
  </si>
  <si>
    <t>Uplands Community Centre Repairs and Maintenance</t>
  </si>
  <si>
    <t>Total Net Expenditure</t>
  </si>
  <si>
    <t xml:space="preserve">17/18 Budget </t>
  </si>
  <si>
    <t>17/18 Actual</t>
  </si>
  <si>
    <t>18/19 Initial Budget</t>
  </si>
  <si>
    <t>19/20 Draft Budget</t>
  </si>
  <si>
    <t>21/22 Forecast</t>
  </si>
  <si>
    <t>22/23 Forecast</t>
  </si>
  <si>
    <t>20/21 Forecast</t>
  </si>
  <si>
    <t>Options</t>
  </si>
  <si>
    <t>Precept</t>
  </si>
  <si>
    <t>1. No Council Tax Increase</t>
  </si>
  <si>
    <t>Council Tax Band B</t>
  </si>
  <si>
    <t>Council Tax Band D</t>
  </si>
  <si>
    <t>Council Tax Increase %</t>
  </si>
  <si>
    <t>General Reserve</t>
  </si>
  <si>
    <t>Brought Forward</t>
  </si>
  <si>
    <t>Carried Forward</t>
  </si>
  <si>
    <t>Council Tax Base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</si>
  <si>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</si>
  <si>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</si>
  <si>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</si>
  <si>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</si>
  <si>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</si>
  <si>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</si>
  <si>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</si>
  <si>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</si>
  <si>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Council Tax: Option 1</t>
  </si>
  <si>
    <t>Council Tax: Option 2</t>
  </si>
  <si>
    <t>2019/20 Per Year (£)</t>
  </si>
  <si>
    <t>2019/20 Per Month (£)</t>
  </si>
  <si>
    <t>2019/20 Per Week (£)</t>
  </si>
  <si>
    <t>-</t>
  </si>
  <si>
    <t>2018/19 Forecast</t>
  </si>
  <si>
    <t>Moved to Fen Park</t>
  </si>
  <si>
    <t>CIL</t>
  </si>
  <si>
    <t>Asset Compliance Costs</t>
  </si>
  <si>
    <t>Unsure why this is in budget, removed</t>
  </si>
  <si>
    <t>Moved into Miscellaneous</t>
  </si>
  <si>
    <t>Part of Waveney Norse Contract</t>
  </si>
  <si>
    <t>Moved from Kensington Gardens PC</t>
  </si>
  <si>
    <t>Move from Fen Park PC</t>
  </si>
  <si>
    <t>Moved from Play Areas</t>
  </si>
  <si>
    <t>Moved from Play Areas, believed to be related to pond</t>
  </si>
  <si>
    <t>Moved from Miscellaneous</t>
  </si>
  <si>
    <t>Moved from Triangle Market PC</t>
  </si>
  <si>
    <t>From Sparrows Nest, underspend goes to emr</t>
  </si>
  <si>
    <t>General R&amp;M for everything, From Sparrows Nest and BVP, underspend goes to emr</t>
  </si>
  <si>
    <t>Covered by Town Hall Business Rates</t>
  </si>
  <si>
    <t>15000 income is error, expected for Arnolds Bequest</t>
  </si>
  <si>
    <t>Lowestoft Town Council - Council Tax Options 2019/20</t>
  </si>
  <si>
    <t>Drying Racks Management Fee</t>
  </si>
  <si>
    <t>Uplands Road North Maintenance Charge</t>
  </si>
  <si>
    <t>Gunton Residents Hall Maintenance Charge</t>
  </si>
  <si>
    <t>Whitton Estate Meeting Hall Maintenance Charge</t>
  </si>
  <si>
    <t>Land North of Hollow Grove Lane</t>
  </si>
  <si>
    <t>Clarkes Lane</t>
  </si>
  <si>
    <t>Increase by RPI, 19/20 and 20/21 increase due to degree cost</t>
  </si>
  <si>
    <t>Loan Repayment</t>
  </si>
  <si>
    <t>Current Budget</t>
  </si>
  <si>
    <t>Reduction</t>
  </si>
  <si>
    <t>Remembrance and Holocaust</t>
  </si>
  <si>
    <t>SN Leisure Grant</t>
  </si>
  <si>
    <t>KG Leisure Grant</t>
  </si>
  <si>
    <t>DO Leisure Grant</t>
  </si>
  <si>
    <t>NP Leisure Grant</t>
  </si>
  <si>
    <t>Capital Works</t>
  </si>
  <si>
    <t>Office Capital Repayment EMR</t>
  </si>
  <si>
    <t>IT (Tablets)</t>
  </si>
  <si>
    <t>Budget Contribution</t>
  </si>
  <si>
    <t>Apprentice</t>
  </si>
  <si>
    <t>Kirkley Cliff PC</t>
  </si>
  <si>
    <t>Non Fixed Budget</t>
  </si>
  <si>
    <t>2. Precept = Draft 2019/20 Budget with Capital Projects finance by 10 year loan</t>
  </si>
  <si>
    <t>EMR Contribution</t>
  </si>
  <si>
    <t>The Ness</t>
  </si>
  <si>
    <t>Substation Rent</t>
  </si>
  <si>
    <t>Greater Eastern Linear Park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</si>
</sst>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;\(#,##0\)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rgb="FFB4FF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3" borderId="0" xfId="0" applyFill="1"/>
    <xf numFmtId="0" fontId="0" fillId="0" borderId="1" xfId="0" applyFont="1" applyBorder="1"/>
    <xf numFmtId="0" fontId="0" fillId="0" borderId="0" xfId="0" applyFill="1"/>
    <xf numFmtId="164" fontId="0" fillId="4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0" fillId="4" borderId="1" xfId="0" applyFont="1" applyFill="1" applyBorder="1"/>
    <xf numFmtId="164" fontId="1" fillId="0" borderId="1" xfId="0" applyNumberFormat="1" applyFont="1" applyFill="1" applyBorder="1"/>
    <xf numFmtId="164" fontId="0" fillId="0" borderId="1" xfId="0" applyNumberFormat="1" applyFill="1" applyBorder="1" applyAlignment="1">
      <alignment wrapText="1"/>
    </xf>
    <xf numFmtId="0" fontId="0" fillId="4" borderId="2" xfId="0" applyFill="1" applyBorder="1"/>
    <xf numFmtId="0" fontId="0" fillId="0" borderId="1" xfId="0" applyBorder="1" applyAlignment="1">
      <alignment wrapText="1"/>
    </xf>
    <xf numFmtId="164" fontId="0" fillId="0" borderId="0" xfId="0" applyNumberFormat="1"/>
    <xf numFmtId="2" fontId="0" fillId="0" borderId="0" xfId="0" applyNumberFormat="1"/>
    <xf numFmtId="164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0" fillId="0" borderId="1" xfId="0" applyFill="1" applyBorder="1"/>
    <xf numFmtId="0" fontId="0" fillId="6" borderId="0" xfId="0" applyFill="1"/>
    <xf numFmtId="0" fontId="0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4" fontId="2" fillId="3" borderId="1" xfId="1" applyNumberFormat="1" applyFont="1" applyFill="1" applyBorder="1"/>
    <xf numFmtId="164" fontId="0" fillId="3" borderId="1" xfId="0" applyNumberFormat="1" applyFont="1" applyFill="1" applyBorder="1"/>
    <xf numFmtId="0" fontId="1" fillId="3" borderId="1" xfId="0" applyFont="1" applyFill="1" applyBorder="1" applyAlignment="1">
      <alignment horizontal="left" vertical="center"/>
    </xf>
    <xf numFmtId="164" fontId="1" fillId="3" borderId="1" xfId="1" applyNumberFormat="1" applyFont="1" applyFill="1" applyBorder="1"/>
    <xf numFmtId="10" fontId="0" fillId="0" borderId="1" xfId="0" applyNumberFormat="1" applyBorder="1"/>
    <xf numFmtId="10" fontId="1" fillId="0" borderId="1" xfId="0" applyNumberFormat="1" applyFont="1" applyBorder="1"/>
    <xf numFmtId="10" fontId="0" fillId="0" borderId="1" xfId="0" applyNumberFormat="1" applyFont="1" applyFill="1" applyBorder="1"/>
    <xf numFmtId="10" fontId="0" fillId="0" borderId="1" xfId="0" applyNumberFormat="1" applyFill="1" applyBorder="1"/>
    <xf numFmtId="10" fontId="1" fillId="0" borderId="1" xfId="0" applyNumberFormat="1" applyFont="1" applyFill="1" applyBorder="1"/>
    <xf numFmtId="10" fontId="0" fillId="4" borderId="1" xfId="0" applyNumberFormat="1" applyFill="1" applyBorder="1"/>
    <xf numFmtId="10" fontId="0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3" fillId="0" borderId="0" xfId="0" applyFont="1"/>
    <xf numFmtId="10" fontId="3" fillId="0" borderId="0" xfId="0" applyNumberFormat="1" applyFont="1"/>
    <xf numFmtId="0" fontId="4" fillId="5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3" fontId="3" fillId="0" borderId="0" xfId="0" applyNumberFormat="1" applyFont="1"/>
    <xf numFmtId="164" fontId="3" fillId="0" borderId="0" xfId="0" applyNumberFormat="1" applyFont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7" fontId="1" fillId="0" borderId="1" xfId="0" quotePrefix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3" fontId="1" fillId="0" borderId="1" xfId="1" applyFont="1" applyBorder="1"/>
    <xf numFmtId="4" fontId="1" fillId="0" borderId="1" xfId="0" applyNumberFormat="1" applyFont="1" applyBorder="1"/>
    <xf numFmtId="165" fontId="0" fillId="0" borderId="1" xfId="0" applyNumberForma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1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0" fontId="0" fillId="0" borderId="0" xfId="0" applyAlignment="1"/>
    <xf numFmtId="0" fontId="0" fillId="3" borderId="1" xfId="0" applyFont="1" applyFill="1" applyBorder="1"/>
    <xf numFmtId="165" fontId="0" fillId="0" borderId="0" xfId="0" applyNumberFormat="1"/>
    <xf numFmtId="0" fontId="0" fillId="0" borderId="0" xfId="0" applyFont="1" applyFill="1"/>
    <xf numFmtId="164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10" fontId="0" fillId="3" borderId="1" xfId="0" applyNumberFormat="1" applyFill="1" applyBorder="1"/>
    <xf numFmtId="164" fontId="0" fillId="7" borderId="1" xfId="0" applyNumberFormat="1" applyFill="1" applyBorder="1"/>
    <xf numFmtId="164" fontId="0" fillId="2" borderId="1" xfId="0" applyNumberForma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164" fontId="0" fillId="10" borderId="1" xfId="0" applyNumberFormat="1" applyFill="1" applyBorder="1"/>
    <xf numFmtId="164" fontId="0" fillId="10" borderId="1" xfId="0" applyNumberFormat="1" applyFont="1" applyFill="1" applyBorder="1"/>
    <xf numFmtId="164" fontId="0" fillId="8" borderId="1" xfId="0" applyNumberFormat="1" applyFont="1" applyFill="1" applyBorder="1"/>
    <xf numFmtId="164" fontId="0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2:S53"/>
  <sheetViews>
    <sheetView tabSelected="1" zoomScale="95" zoomScaleNormal="100" workbookViewId="0">
      <selection activeCell="A2" sqref="A2"/>
    </sheetView>
  </sheetViews>
  <sheetFormatPr defaultRowHeight="14.4" x14ac:dyDescent="0.3"/>
  <cols>
    <col min="2" max="2" width="44.6640625" customWidth="1"/>
    <col min="3" max="5" width="11.6640625" customWidth="1"/>
    <col min="6" max="6" width="12.44140625" bestFit="1" customWidth="1"/>
    <col min="7" max="9" width="13.44140625" bestFit="1" customWidth="1"/>
    <col min="12" max="12" width="33.44140625" bestFit="1" customWidth="1"/>
    <col min="13" max="13" width="13.88671875" bestFit="1" customWidth="1"/>
    <col min="14" max="14" width="11.88671875" bestFit="1" customWidth="1"/>
    <col min="18" max="18" width="9.77734375" customWidth="1"/>
  </cols>
  <sheetData>
    <row r="2" spans="2:18" s="71" customFormat="1" ht="31.2" x14ac:dyDescent="0.3">
      <c r="B2" s="74" t="s">
        <v>249</v>
      </c>
      <c r="C2" s="3" t="s">
        <v>201</v>
      </c>
      <c r="D2" s="3" t="s">
        <v>202</v>
      </c>
      <c r="E2" s="3" t="s">
        <v>203</v>
      </c>
      <c r="F2" s="3" t="s">
        <v>204</v>
      </c>
      <c r="G2" s="3" t="s">
        <v>207</v>
      </c>
      <c r="H2" s="3" t="s">
        <v>205</v>
      </c>
      <c r="I2" s="3" t="s">
        <v>206</v>
      </c>
      <c r="P2" s="72"/>
      <c r="Q2" s="72"/>
      <c r="R2" s="72"/>
    </row>
    <row r="3" spans="2:18" s="71" customFormat="1" x14ac:dyDescent="0.3">
      <c r="B3" s="73"/>
      <c r="C3" s="4" t="s">
        <v>36</v>
      </c>
      <c r="D3" s="4" t="s">
        <v>36</v>
      </c>
      <c r="E3" s="4" t="s">
        <v>36</v>
      </c>
      <c r="F3" s="4" t="s">
        <v>36</v>
      </c>
      <c r="G3" s="4" t="s">
        <v>36</v>
      </c>
      <c r="H3" s="4" t="s">
        <v>36</v>
      </c>
      <c r="I3" s="4" t="s">
        <v>36</v>
      </c>
    </row>
    <row r="4" spans="2:18" x14ac:dyDescent="0.3">
      <c r="B4" s="2"/>
      <c r="C4" s="5"/>
      <c r="D4" s="5"/>
      <c r="E4" s="5"/>
      <c r="F4" s="5"/>
      <c r="G4" s="5"/>
      <c r="H4" s="5"/>
      <c r="I4" s="5"/>
      <c r="L4" s="1" t="s">
        <v>271</v>
      </c>
      <c r="M4" s="1" t="s">
        <v>258</v>
      </c>
      <c r="N4" s="1" t="s">
        <v>259</v>
      </c>
    </row>
    <row r="5" spans="2:18" x14ac:dyDescent="0.3">
      <c r="B5" s="2" t="s">
        <v>200</v>
      </c>
      <c r="C5" s="78">
        <f>Summary!C33</f>
        <v>1392280</v>
      </c>
      <c r="D5" s="78">
        <f>Summary!D33</f>
        <v>691153</v>
      </c>
      <c r="E5" s="78">
        <f>Summary!E33</f>
        <v>1608848</v>
      </c>
      <c r="F5" s="78">
        <f>Summary!I33</f>
        <v>1783537</v>
      </c>
      <c r="G5" s="78">
        <f>Summary!K33</f>
        <v>1916117.06</v>
      </c>
      <c r="H5" s="78">
        <f>Summary!L33</f>
        <v>1967367</v>
      </c>
      <c r="I5" s="78">
        <f>Summary!M33</f>
        <v>2012457</v>
      </c>
      <c r="L5" t="s">
        <v>59</v>
      </c>
      <c r="M5" s="84">
        <v>25000</v>
      </c>
      <c r="N5" s="84">
        <v>25000</v>
      </c>
    </row>
    <row r="6" spans="2:18" x14ac:dyDescent="0.3">
      <c r="B6" s="2"/>
      <c r="C6" s="78"/>
      <c r="D6" s="78"/>
      <c r="E6" s="78"/>
      <c r="F6" s="78"/>
      <c r="G6" s="78"/>
      <c r="H6" s="78"/>
      <c r="I6" s="78"/>
      <c r="L6" t="s">
        <v>62</v>
      </c>
      <c r="M6" s="84">
        <v>10000</v>
      </c>
      <c r="N6" s="84"/>
    </row>
    <row r="7" spans="2:18" ht="15.6" x14ac:dyDescent="0.3">
      <c r="B7" s="69" t="s">
        <v>208</v>
      </c>
      <c r="C7" s="78"/>
      <c r="D7" s="78"/>
      <c r="E7" s="78"/>
      <c r="F7" s="78"/>
      <c r="G7" s="78"/>
      <c r="H7" s="78"/>
      <c r="I7" s="78"/>
      <c r="L7" t="s">
        <v>106</v>
      </c>
      <c r="M7" s="84">
        <v>7800</v>
      </c>
      <c r="N7" s="84"/>
    </row>
    <row r="8" spans="2:18" x14ac:dyDescent="0.3">
      <c r="B8" s="2"/>
      <c r="C8" s="78"/>
      <c r="D8" s="78"/>
      <c r="E8" s="78"/>
      <c r="F8" s="78"/>
      <c r="G8" s="78"/>
      <c r="H8" s="78"/>
      <c r="I8" s="78"/>
      <c r="L8" t="s">
        <v>63</v>
      </c>
      <c r="M8" s="84">
        <v>7000</v>
      </c>
      <c r="N8" s="84"/>
    </row>
    <row r="9" spans="2:18" x14ac:dyDescent="0.3">
      <c r="B9" s="2" t="s">
        <v>210</v>
      </c>
      <c r="C9" s="78"/>
      <c r="D9" s="78"/>
      <c r="E9" s="78"/>
      <c r="F9" s="78"/>
      <c r="G9" s="78"/>
      <c r="H9" s="78"/>
      <c r="I9" s="78"/>
      <c r="L9" t="s">
        <v>260</v>
      </c>
      <c r="M9" s="84">
        <v>4000</v>
      </c>
      <c r="N9" s="84"/>
    </row>
    <row r="10" spans="2:18" x14ac:dyDescent="0.3">
      <c r="B10" s="2"/>
      <c r="C10" s="78"/>
      <c r="D10" s="78"/>
      <c r="E10" s="78"/>
      <c r="F10" s="78"/>
      <c r="G10" s="78"/>
      <c r="H10" s="78"/>
      <c r="I10" s="78"/>
      <c r="L10" t="s">
        <v>65</v>
      </c>
      <c r="M10" s="84">
        <v>40000</v>
      </c>
      <c r="N10" s="84">
        <v>10000</v>
      </c>
    </row>
    <row r="11" spans="2:18" x14ac:dyDescent="0.3">
      <c r="B11" s="2" t="s">
        <v>209</v>
      </c>
      <c r="C11" s="78">
        <f>C5</f>
        <v>1392280</v>
      </c>
      <c r="D11" s="78">
        <f>C11</f>
        <v>1392280</v>
      </c>
      <c r="E11" s="78">
        <f>E5</f>
        <v>1608848</v>
      </c>
      <c r="F11" s="78">
        <f>F12*F29</f>
        <v>1627039.9968680323</v>
      </c>
      <c r="G11" s="78">
        <f>G12*G29</f>
        <v>1635175.0089319088</v>
      </c>
      <c r="H11" s="78">
        <f>H12*H29</f>
        <v>1643351.4930980706</v>
      </c>
      <c r="I11" s="78">
        <f>I12*I29</f>
        <v>1651568.1533633212</v>
      </c>
      <c r="L11" t="s">
        <v>77</v>
      </c>
      <c r="M11" s="84">
        <v>10000</v>
      </c>
      <c r="N11" s="84"/>
    </row>
    <row r="12" spans="2:18" x14ac:dyDescent="0.3">
      <c r="B12" s="2" t="s">
        <v>212</v>
      </c>
      <c r="C12" s="79">
        <f>C11/C29</f>
        <v>114.36597967783537</v>
      </c>
      <c r="D12" s="79">
        <f>D11/D29</f>
        <v>114.36597967783537</v>
      </c>
      <c r="E12" s="79">
        <f>E11/E29</f>
        <v>129.60031964117701</v>
      </c>
      <c r="F12" s="79">
        <f>E12</f>
        <v>129.60031964117701</v>
      </c>
      <c r="G12" s="79">
        <f>F12</f>
        <v>129.60031964117701</v>
      </c>
      <c r="H12" s="79">
        <f>G12</f>
        <v>129.60031964117701</v>
      </c>
      <c r="I12" s="79">
        <f>H12</f>
        <v>129.60031964117701</v>
      </c>
      <c r="L12" t="s">
        <v>261</v>
      </c>
      <c r="M12" s="84">
        <v>7214</v>
      </c>
      <c r="N12" s="84"/>
    </row>
    <row r="13" spans="2:18" x14ac:dyDescent="0.3">
      <c r="B13" s="2" t="s">
        <v>211</v>
      </c>
      <c r="C13" s="79">
        <f t="shared" ref="C13:I13" si="0">C12*7/9</f>
        <v>88.951317527205276</v>
      </c>
      <c r="D13" s="79">
        <f t="shared" si="0"/>
        <v>88.951317527205276</v>
      </c>
      <c r="E13" s="79">
        <f t="shared" si="0"/>
        <v>100.80024860980433</v>
      </c>
      <c r="F13" s="79">
        <f t="shared" si="0"/>
        <v>100.80024860980433</v>
      </c>
      <c r="G13" s="79">
        <f t="shared" si="0"/>
        <v>100.80024860980433</v>
      </c>
      <c r="H13" s="79">
        <f t="shared" si="0"/>
        <v>100.80024860980433</v>
      </c>
      <c r="I13" s="79">
        <f t="shared" si="0"/>
        <v>100.80024860980433</v>
      </c>
      <c r="L13" t="s">
        <v>262</v>
      </c>
      <c r="M13" s="84">
        <v>9018</v>
      </c>
      <c r="N13" s="84">
        <v>5000</v>
      </c>
    </row>
    <row r="14" spans="2:18" x14ac:dyDescent="0.3">
      <c r="B14" s="2" t="s">
        <v>213</v>
      </c>
      <c r="C14" s="80" t="s">
        <v>231</v>
      </c>
      <c r="D14" s="80" t="s">
        <v>231</v>
      </c>
      <c r="E14" s="50">
        <f>(E12-D12)/D12</f>
        <v>0.13320692050429855</v>
      </c>
      <c r="F14" s="50">
        <f>(F12-E12)/E12</f>
        <v>0</v>
      </c>
      <c r="G14" s="50">
        <f>(G12-F12)/F12</f>
        <v>0</v>
      </c>
      <c r="H14" s="50">
        <f>(H12-G12)/G12</f>
        <v>0</v>
      </c>
      <c r="I14" s="50">
        <f>(I12-H12)/H12</f>
        <v>0</v>
      </c>
      <c r="L14" t="s">
        <v>89</v>
      </c>
      <c r="M14" s="84">
        <v>50000</v>
      </c>
      <c r="N14" s="84"/>
    </row>
    <row r="15" spans="2:18" x14ac:dyDescent="0.3">
      <c r="B15" s="7" t="s">
        <v>214</v>
      </c>
      <c r="C15" s="81">
        <v>0</v>
      </c>
      <c r="D15" s="81">
        <v>414969</v>
      </c>
      <c r="E15" s="81">
        <f>E11-E5</f>
        <v>0</v>
      </c>
      <c r="F15" s="81">
        <f>F11-F5</f>
        <v>-156497.00313196774</v>
      </c>
      <c r="G15" s="81">
        <f>G11-G5</f>
        <v>-280942.0510680913</v>
      </c>
      <c r="H15" s="81">
        <f>H11-H5</f>
        <v>-324015.50690192939</v>
      </c>
      <c r="I15" s="81">
        <f>I11-I5</f>
        <v>-360888.84663667879</v>
      </c>
      <c r="L15" t="s">
        <v>263</v>
      </c>
      <c r="M15" s="84">
        <v>10503</v>
      </c>
      <c r="N15" s="84"/>
    </row>
    <row r="16" spans="2:18" x14ac:dyDescent="0.3">
      <c r="B16" s="7" t="s">
        <v>215</v>
      </c>
      <c r="C16" s="81">
        <v>0</v>
      </c>
      <c r="D16" s="81">
        <v>0</v>
      </c>
      <c r="E16" s="81">
        <f>D17</f>
        <v>414969</v>
      </c>
      <c r="F16" s="78">
        <f>E17</f>
        <v>414969</v>
      </c>
      <c r="G16" s="78">
        <f>F17</f>
        <v>258471.99686803226</v>
      </c>
      <c r="H16" s="78">
        <f>G17</f>
        <v>-22470.054200059036</v>
      </c>
      <c r="I16" s="78">
        <f>H17</f>
        <v>-346485.56110198842</v>
      </c>
      <c r="L16" t="s">
        <v>264</v>
      </c>
      <c r="M16" s="84">
        <v>4880</v>
      </c>
      <c r="N16" s="84">
        <v>3000</v>
      </c>
    </row>
    <row r="17" spans="2:19" x14ac:dyDescent="0.3">
      <c r="B17" s="7" t="s">
        <v>216</v>
      </c>
      <c r="C17" s="81">
        <v>0</v>
      </c>
      <c r="D17" s="81">
        <f>D15</f>
        <v>414969</v>
      </c>
      <c r="E17" s="81">
        <f>E16+E15</f>
        <v>414969</v>
      </c>
      <c r="F17" s="81">
        <f>F16+F15</f>
        <v>258471.99686803226</v>
      </c>
      <c r="G17" s="81">
        <f>G16+G15</f>
        <v>-22470.054200059036</v>
      </c>
      <c r="H17" s="81">
        <f>H16+H15</f>
        <v>-346485.56110198842</v>
      </c>
      <c r="I17" s="81">
        <f>I16+I15</f>
        <v>-707374.40773866721</v>
      </c>
      <c r="L17" t="s">
        <v>192</v>
      </c>
      <c r="M17" s="84">
        <v>20000</v>
      </c>
      <c r="N17" s="84">
        <v>14500</v>
      </c>
    </row>
    <row r="18" spans="2:19" x14ac:dyDescent="0.3">
      <c r="B18" s="2"/>
      <c r="C18" s="81"/>
      <c r="D18" s="81"/>
      <c r="E18" s="81"/>
      <c r="F18" s="78"/>
      <c r="G18" s="78"/>
      <c r="H18" s="78"/>
      <c r="I18" s="78"/>
      <c r="L18" t="s">
        <v>266</v>
      </c>
      <c r="M18" s="84">
        <v>12080</v>
      </c>
      <c r="N18" s="84">
        <v>12080</v>
      </c>
      <c r="O18" s="82"/>
      <c r="P18" s="82"/>
      <c r="Q18" s="82"/>
      <c r="R18" s="82"/>
      <c r="S18" s="82"/>
    </row>
    <row r="19" spans="2:19" x14ac:dyDescent="0.3">
      <c r="B19" s="2" t="s">
        <v>272</v>
      </c>
      <c r="C19" s="78"/>
      <c r="D19" s="78"/>
      <c r="E19" s="78"/>
      <c r="F19" s="78"/>
      <c r="G19" s="78"/>
      <c r="H19" s="78"/>
      <c r="I19" s="78"/>
      <c r="L19" t="s">
        <v>267</v>
      </c>
      <c r="M19" s="84">
        <v>7080</v>
      </c>
      <c r="N19" s="84"/>
      <c r="S19" s="82"/>
    </row>
    <row r="20" spans="2:19" x14ac:dyDescent="0.3">
      <c r="B20" s="2"/>
      <c r="C20" s="78"/>
      <c r="D20" s="78"/>
      <c r="E20" s="78"/>
      <c r="F20" s="78"/>
      <c r="G20" s="78"/>
      <c r="H20" s="78"/>
      <c r="I20" s="78"/>
      <c r="L20" t="s">
        <v>268</v>
      </c>
      <c r="M20" s="84">
        <v>50000</v>
      </c>
      <c r="N20" s="84">
        <v>25000</v>
      </c>
      <c r="S20" s="82"/>
    </row>
    <row r="21" spans="2:19" x14ac:dyDescent="0.3">
      <c r="B21" s="2" t="s">
        <v>209</v>
      </c>
      <c r="C21" s="78">
        <f>C5</f>
        <v>1392280</v>
      </c>
      <c r="D21" s="78">
        <f>C21</f>
        <v>1392280</v>
      </c>
      <c r="E21" s="78">
        <f>E5</f>
        <v>1608848</v>
      </c>
      <c r="F21" s="78">
        <f>F5</f>
        <v>1783537</v>
      </c>
      <c r="G21" s="78">
        <f>G5</f>
        <v>1916117.06</v>
      </c>
      <c r="H21" s="78">
        <f>H5</f>
        <v>1967367</v>
      </c>
      <c r="I21" s="78">
        <f>I5</f>
        <v>2012457</v>
      </c>
      <c r="L21" t="s">
        <v>269</v>
      </c>
      <c r="M21" s="84">
        <v>30900</v>
      </c>
      <c r="N21" s="84">
        <v>30900</v>
      </c>
      <c r="S21" s="82"/>
    </row>
    <row r="22" spans="2:19" x14ac:dyDescent="0.3">
      <c r="B22" s="2" t="s">
        <v>212</v>
      </c>
      <c r="C22" s="79">
        <f t="shared" ref="C22:I22" si="1">C21/C29</f>
        <v>114.36597967783537</v>
      </c>
      <c r="D22" s="79">
        <f t="shared" si="1"/>
        <v>114.36597967783537</v>
      </c>
      <c r="E22" s="79">
        <f t="shared" si="1"/>
        <v>129.60031964117701</v>
      </c>
      <c r="F22" s="79">
        <f t="shared" si="1"/>
        <v>142.06593921281092</v>
      </c>
      <c r="G22" s="79">
        <f t="shared" si="1"/>
        <v>151.86715922726847</v>
      </c>
      <c r="H22" s="79">
        <f t="shared" si="1"/>
        <v>155.15329077337412</v>
      </c>
      <c r="I22" s="79">
        <f t="shared" si="1"/>
        <v>157.91965347175631</v>
      </c>
      <c r="L22" t="s">
        <v>10</v>
      </c>
      <c r="M22" s="84">
        <v>10300</v>
      </c>
      <c r="N22" s="84"/>
    </row>
    <row r="23" spans="2:19" x14ac:dyDescent="0.3">
      <c r="B23" s="2" t="s">
        <v>211</v>
      </c>
      <c r="C23" s="79">
        <f t="shared" ref="C23:I23" si="2">C22*7/9</f>
        <v>88.951317527205276</v>
      </c>
      <c r="D23" s="79">
        <f t="shared" si="2"/>
        <v>88.951317527205276</v>
      </c>
      <c r="E23" s="79">
        <f t="shared" si="2"/>
        <v>100.80024860980433</v>
      </c>
      <c r="F23" s="79">
        <f t="shared" si="2"/>
        <v>110.49573049885294</v>
      </c>
      <c r="G23" s="79">
        <f t="shared" si="2"/>
        <v>118.11890162120881</v>
      </c>
      <c r="H23" s="79">
        <f t="shared" si="2"/>
        <v>120.67478171262434</v>
      </c>
      <c r="I23" s="79">
        <f t="shared" si="2"/>
        <v>122.82639714469936</v>
      </c>
      <c r="L23" t="s">
        <v>270</v>
      </c>
      <c r="M23" s="84">
        <v>10700</v>
      </c>
      <c r="N23" s="84"/>
    </row>
    <row r="24" spans="2:19" x14ac:dyDescent="0.3">
      <c r="B24" s="2" t="s">
        <v>213</v>
      </c>
      <c r="C24" s="80" t="s">
        <v>231</v>
      </c>
      <c r="D24" s="80" t="s">
        <v>231</v>
      </c>
      <c r="E24" s="50">
        <f>(E22-D22)/D22</f>
        <v>0.13320692050429855</v>
      </c>
      <c r="F24" s="50">
        <f>(F22-E22)/E22</f>
        <v>9.6185098973114669E-2</v>
      </c>
      <c r="G24" s="50">
        <f>(G22-F22)/F22</f>
        <v>6.8990639619645883E-2</v>
      </c>
      <c r="H24" s="50">
        <f>(H22-G22)/G22</f>
        <v>2.1638197243078541E-2</v>
      </c>
      <c r="I24" s="50">
        <f>(I22-H22)/H22</f>
        <v>1.7829868026601452E-2</v>
      </c>
    </row>
    <row r="25" spans="2:19" x14ac:dyDescent="0.3">
      <c r="B25" s="7" t="s">
        <v>214</v>
      </c>
      <c r="C25" s="81">
        <v>0</v>
      </c>
      <c r="D25" s="81">
        <v>414969</v>
      </c>
      <c r="E25" s="81">
        <f>E21-E5</f>
        <v>0</v>
      </c>
      <c r="F25" s="81">
        <v>0</v>
      </c>
      <c r="G25" s="81">
        <f>G21-G5</f>
        <v>0</v>
      </c>
      <c r="H25" s="81">
        <f>H21-H5</f>
        <v>0</v>
      </c>
      <c r="I25" s="81">
        <f>I21-I5</f>
        <v>0</v>
      </c>
    </row>
    <row r="26" spans="2:19" x14ac:dyDescent="0.3">
      <c r="B26" s="7" t="s">
        <v>215</v>
      </c>
      <c r="C26" s="81">
        <v>0</v>
      </c>
      <c r="D26" s="81">
        <v>0</v>
      </c>
      <c r="E26" s="81">
        <f>D27</f>
        <v>414969</v>
      </c>
      <c r="F26" s="81">
        <f>E27</f>
        <v>414969</v>
      </c>
      <c r="G26" s="81">
        <f>F27</f>
        <v>414969</v>
      </c>
      <c r="H26" s="81">
        <f>G27</f>
        <v>414969</v>
      </c>
      <c r="I26" s="81">
        <f>H27</f>
        <v>414969</v>
      </c>
      <c r="L26" t="s">
        <v>154</v>
      </c>
      <c r="N26" s="84">
        <f>SUM(N5:N23)</f>
        <v>125480</v>
      </c>
    </row>
    <row r="27" spans="2:19" x14ac:dyDescent="0.3">
      <c r="B27" s="7" t="s">
        <v>216</v>
      </c>
      <c r="C27" s="81">
        <v>0</v>
      </c>
      <c r="D27" s="81">
        <v>414969</v>
      </c>
      <c r="E27" s="81">
        <f>E26+E25</f>
        <v>414969</v>
      </c>
      <c r="F27" s="81">
        <f>F26+F25</f>
        <v>414969</v>
      </c>
      <c r="G27" s="81">
        <f>G26+G25</f>
        <v>414969</v>
      </c>
      <c r="H27" s="81">
        <f>H26+H25</f>
        <v>414969</v>
      </c>
      <c r="I27" s="81">
        <f>I26+I25</f>
        <v>414969</v>
      </c>
      <c r="N27" s="84"/>
    </row>
    <row r="28" spans="2:19" x14ac:dyDescent="0.3">
      <c r="B28" s="2"/>
      <c r="C28" s="78"/>
      <c r="D28" s="78"/>
      <c r="E28" s="78"/>
      <c r="F28" s="78"/>
      <c r="G28" s="78"/>
      <c r="H28" s="78"/>
      <c r="I28" s="78"/>
      <c r="N28" s="84"/>
    </row>
    <row r="29" spans="2:19" x14ac:dyDescent="0.3">
      <c r="B29" s="2" t="s">
        <v>217</v>
      </c>
      <c r="C29" s="75">
        <v>12173.9</v>
      </c>
      <c r="D29" s="75">
        <v>12173.9</v>
      </c>
      <c r="E29" s="75">
        <v>12413.92</v>
      </c>
      <c r="F29" s="76">
        <v>12554.29</v>
      </c>
      <c r="G29" s="2">
        <f>ROUND(F29*1.005,2)</f>
        <v>12617.06</v>
      </c>
      <c r="H29" s="2">
        <f>ROUND(G29*1.005,2)</f>
        <v>12680.15</v>
      </c>
      <c r="I29" s="2">
        <f>ROUND(H29*1.005,2)</f>
        <v>12743.55</v>
      </c>
    </row>
    <row r="30" spans="2:19" x14ac:dyDescent="0.3">
      <c r="B30" s="27"/>
    </row>
    <row r="31" spans="2:19" ht="28.8" x14ac:dyDescent="0.3">
      <c r="B31" s="2" t="s">
        <v>226</v>
      </c>
      <c r="C31" s="70" t="s">
        <v>228</v>
      </c>
      <c r="D31" s="70" t="s">
        <v>229</v>
      </c>
      <c r="E31" s="70" t="s">
        <v>230</v>
      </c>
    </row>
    <row r="32" spans="2:19" x14ac:dyDescent="0.3">
      <c r="B32" s="9" t="s">
        <v>218</v>
      </c>
      <c r="C32" s="77">
        <f>C35/9*6</f>
        <v>86.400213094118001</v>
      </c>
      <c r="D32" s="77">
        <f t="shared" ref="D32:D39" si="3">C32/12</f>
        <v>7.2000177578431668</v>
      </c>
      <c r="E32" s="77">
        <f t="shared" ref="E32:E39" si="4">C32/52</f>
        <v>1.6615425595022693</v>
      </c>
    </row>
    <row r="33" spans="2:5" x14ac:dyDescent="0.3">
      <c r="B33" s="9" t="s">
        <v>219</v>
      </c>
      <c r="C33" s="77">
        <f>C35/9*7</f>
        <v>100.80024860980433</v>
      </c>
      <c r="D33" s="77">
        <f t="shared" si="3"/>
        <v>8.4000207174836934</v>
      </c>
      <c r="E33" s="77">
        <f t="shared" si="4"/>
        <v>1.9384663194193139</v>
      </c>
    </row>
    <row r="34" spans="2:5" x14ac:dyDescent="0.3">
      <c r="B34" s="9" t="s">
        <v>220</v>
      </c>
      <c r="C34" s="77">
        <f>C35/9*8</f>
        <v>115.20028412549067</v>
      </c>
      <c r="D34" s="77">
        <f t="shared" si="3"/>
        <v>9.6000236771242218</v>
      </c>
      <c r="E34" s="77">
        <f t="shared" si="4"/>
        <v>2.215390079336359</v>
      </c>
    </row>
    <row r="35" spans="2:5" x14ac:dyDescent="0.3">
      <c r="B35" s="9" t="s">
        <v>221</v>
      </c>
      <c r="C35" s="77">
        <f>F12</f>
        <v>129.60031964117701</v>
      </c>
      <c r="D35" s="77">
        <f t="shared" si="3"/>
        <v>10.80002663676475</v>
      </c>
      <c r="E35" s="77">
        <f t="shared" si="4"/>
        <v>2.4923138392534039</v>
      </c>
    </row>
    <row r="36" spans="2:5" x14ac:dyDescent="0.3">
      <c r="B36" s="9" t="s">
        <v>222</v>
      </c>
      <c r="C36" s="77">
        <f>C35/9*11</f>
        <v>158.40039067254966</v>
      </c>
      <c r="D36" s="77">
        <f t="shared" si="3"/>
        <v>13.200032556045805</v>
      </c>
      <c r="E36" s="77">
        <f t="shared" si="4"/>
        <v>3.0461613590874936</v>
      </c>
    </row>
    <row r="37" spans="2:5" x14ac:dyDescent="0.3">
      <c r="B37" s="9" t="s">
        <v>223</v>
      </c>
      <c r="C37" s="77">
        <f>C35/9*13</f>
        <v>187.20046170392234</v>
      </c>
      <c r="D37" s="77">
        <f t="shared" si="3"/>
        <v>15.600038475326862</v>
      </c>
      <c r="E37" s="77">
        <f t="shared" si="4"/>
        <v>3.6000088789215834</v>
      </c>
    </row>
    <row r="38" spans="2:5" x14ac:dyDescent="0.3">
      <c r="B38" s="9" t="s">
        <v>224</v>
      </c>
      <c r="C38" s="77">
        <f>C35/9*15</f>
        <v>216.000532735295</v>
      </c>
      <c r="D38" s="77">
        <f t="shared" si="3"/>
        <v>18.000044394607915</v>
      </c>
      <c r="E38" s="77">
        <f t="shared" si="4"/>
        <v>4.1538563987556731</v>
      </c>
    </row>
    <row r="39" spans="2:5" x14ac:dyDescent="0.3">
      <c r="B39" s="9" t="s">
        <v>225</v>
      </c>
      <c r="C39" s="77">
        <f>C35/9*18</f>
        <v>259.20063928235402</v>
      </c>
      <c r="D39" s="77">
        <f t="shared" si="3"/>
        <v>21.6000532735295</v>
      </c>
      <c r="E39" s="77">
        <f t="shared" si="4"/>
        <v>4.9846276785068078</v>
      </c>
    </row>
    <row r="41" spans="2:5" ht="28.8" x14ac:dyDescent="0.3">
      <c r="B41" s="2" t="s">
        <v>227</v>
      </c>
      <c r="C41" s="70" t="s">
        <v>228</v>
      </c>
      <c r="D41" s="70" t="s">
        <v>229</v>
      </c>
      <c r="E41" s="70" t="s">
        <v>230</v>
      </c>
    </row>
    <row r="42" spans="2:5" x14ac:dyDescent="0.3">
      <c r="B42" s="9" t="s">
        <v>218</v>
      </c>
      <c r="C42" s="77">
        <f>C45/9*6</f>
        <v>94.710626141873945</v>
      </c>
      <c r="D42" s="77">
        <f t="shared" ref="D42:D49" si="5">C42/12</f>
        <v>7.8925521784894954</v>
      </c>
      <c r="E42" s="77">
        <f t="shared" ref="E42:E49" si="6">C42/52</f>
        <v>1.8213581950360374</v>
      </c>
    </row>
    <row r="43" spans="2:5" x14ac:dyDescent="0.3">
      <c r="B43" s="9" t="s">
        <v>219</v>
      </c>
      <c r="C43" s="77">
        <f>C45/9*7</f>
        <v>110.49573049885294</v>
      </c>
      <c r="D43" s="77">
        <f t="shared" si="5"/>
        <v>9.2079775415710774</v>
      </c>
      <c r="E43" s="77">
        <f t="shared" si="6"/>
        <v>2.1249178942087101</v>
      </c>
    </row>
    <row r="44" spans="2:5" x14ac:dyDescent="0.3">
      <c r="B44" s="9" t="s">
        <v>220</v>
      </c>
      <c r="C44" s="77">
        <f>C45/9*8</f>
        <v>126.28083485583193</v>
      </c>
      <c r="D44" s="77">
        <f t="shared" si="5"/>
        <v>10.523402904652661</v>
      </c>
      <c r="E44" s="77">
        <f t="shared" si="6"/>
        <v>2.4284775933813831</v>
      </c>
    </row>
    <row r="45" spans="2:5" x14ac:dyDescent="0.3">
      <c r="B45" s="9" t="s">
        <v>221</v>
      </c>
      <c r="C45" s="77">
        <f>F22</f>
        <v>142.06593921281092</v>
      </c>
      <c r="D45" s="77">
        <f t="shared" si="5"/>
        <v>11.838828267734243</v>
      </c>
      <c r="E45" s="77">
        <f t="shared" si="6"/>
        <v>2.7320372925540561</v>
      </c>
    </row>
    <row r="46" spans="2:5" x14ac:dyDescent="0.3">
      <c r="B46" s="9" t="s">
        <v>222</v>
      </c>
      <c r="C46" s="77">
        <f>C45/9*11</f>
        <v>173.6361479267689</v>
      </c>
      <c r="D46" s="77">
        <f t="shared" si="5"/>
        <v>14.469678993897409</v>
      </c>
      <c r="E46" s="77">
        <f t="shared" si="6"/>
        <v>3.3391566908994017</v>
      </c>
    </row>
    <row r="47" spans="2:5" x14ac:dyDescent="0.3">
      <c r="B47" s="9" t="s">
        <v>223</v>
      </c>
      <c r="C47" s="77">
        <f>C45/9*13</f>
        <v>205.20635664072688</v>
      </c>
      <c r="D47" s="77">
        <f t="shared" si="5"/>
        <v>17.100529720060575</v>
      </c>
      <c r="E47" s="77">
        <f t="shared" si="6"/>
        <v>3.9462760892447477</v>
      </c>
    </row>
    <row r="48" spans="2:5" x14ac:dyDescent="0.3">
      <c r="B48" s="9" t="s">
        <v>224</v>
      </c>
      <c r="C48" s="77">
        <f>C45/9*15</f>
        <v>236.77656535468486</v>
      </c>
      <c r="D48" s="77">
        <f t="shared" si="5"/>
        <v>19.731380446223739</v>
      </c>
      <c r="E48" s="77">
        <f t="shared" si="6"/>
        <v>4.5533954875900937</v>
      </c>
    </row>
    <row r="49" spans="2:5" x14ac:dyDescent="0.3">
      <c r="B49" s="9" t="s">
        <v>225</v>
      </c>
      <c r="C49" s="77">
        <f>C45/9*18</f>
        <v>284.13187842562184</v>
      </c>
      <c r="D49" s="77">
        <f t="shared" si="5"/>
        <v>23.677656535468486</v>
      </c>
      <c r="E49" s="77">
        <f t="shared" si="6"/>
        <v>5.4640745851081123</v>
      </c>
    </row>
    <row r="52" spans="2:5" x14ac:dyDescent="0.3">
      <c r="C52" s="84"/>
    </row>
    <row r="53" spans="2:5" x14ac:dyDescent="0.3">
      <c r="C53" s="8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3:N19"/>
  <sheetViews>
    <sheetView topLeftCell="C1" workbookViewId="0">
      <selection activeCell="K12" sqref="K1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1.5546875" customWidth="1"/>
    <col min="12" max="14" width="12.21875" customWidth="1"/>
  </cols>
  <sheetData>
    <row r="3" spans="2:14" s="1" customFormat="1" ht="43.2" x14ac:dyDescent="0.3">
      <c r="B3" s="2" t="s">
        <v>5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v>103</v>
      </c>
      <c r="I6" s="94">
        <f>ROUND(G7*RPI,0)</f>
        <v>106</v>
      </c>
      <c r="J6" s="49" t="str">
        <f>IFERROR(I6/E6,"N/A")</f>
        <v>N/A</v>
      </c>
      <c r="K6" s="6"/>
      <c r="L6" s="6">
        <f>ROUND(I6*RPI,0)</f>
        <v>109</v>
      </c>
      <c r="M6" s="6">
        <f>ROUND(L6*RPI,0)</f>
        <v>112</v>
      </c>
      <c r="N6" s="6">
        <f>ROUND(M6*RPI,0)</f>
        <v>115</v>
      </c>
    </row>
    <row r="7" spans="2:14" x14ac:dyDescent="0.3">
      <c r="B7" s="12" t="s">
        <v>43</v>
      </c>
      <c r="C7" s="13">
        <v>100</v>
      </c>
      <c r="D7" s="13">
        <v>0</v>
      </c>
      <c r="E7" s="13">
        <v>103</v>
      </c>
      <c r="F7" s="13"/>
      <c r="G7" s="13">
        <v>103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s="1" customFormat="1" x14ac:dyDescent="0.3">
      <c r="B8" s="2" t="s">
        <v>32</v>
      </c>
      <c r="C8" s="7">
        <f t="shared" ref="C8:I8" si="0">SUM(C6:C7)</f>
        <v>100</v>
      </c>
      <c r="D8" s="7">
        <f t="shared" si="0"/>
        <v>0</v>
      </c>
      <c r="E8" s="7">
        <f t="shared" si="0"/>
        <v>103</v>
      </c>
      <c r="F8" s="7">
        <f t="shared" si="0"/>
        <v>0</v>
      </c>
      <c r="G8" s="7">
        <f t="shared" si="0"/>
        <v>103</v>
      </c>
      <c r="H8" s="7">
        <f t="shared" si="0"/>
        <v>103</v>
      </c>
      <c r="I8" s="7">
        <f t="shared" si="0"/>
        <v>106</v>
      </c>
      <c r="J8" s="50">
        <f>IFERROR(I8/E8,"N/A")</f>
        <v>1.029126213592233</v>
      </c>
      <c r="K8" s="7"/>
      <c r="L8" s="7">
        <f>SUM(L6:L7)</f>
        <v>109</v>
      </c>
      <c r="M8" s="7">
        <f>SUM(M6:M7)</f>
        <v>112</v>
      </c>
      <c r="N8" s="7">
        <f>SUM(N6:N7)</f>
        <v>115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5" t="s">
        <v>80</v>
      </c>
      <c r="C10" s="6">
        <v>16000</v>
      </c>
      <c r="D10" s="6">
        <v>15346</v>
      </c>
      <c r="E10" s="6">
        <v>16560</v>
      </c>
      <c r="F10" s="6"/>
      <c r="G10" s="6">
        <v>16560</v>
      </c>
      <c r="H10" s="6">
        <f>G10*700000/737428</f>
        <v>15719.500751259784</v>
      </c>
      <c r="I10" s="93">
        <v>14000</v>
      </c>
      <c r="J10" s="49">
        <f>IFERROR(I10/E10,"N/A")</f>
        <v>0.84541062801932365</v>
      </c>
      <c r="K10" s="6"/>
      <c r="L10" s="6">
        <f>ROUND(I10*RPI,0)</f>
        <v>14420</v>
      </c>
      <c r="M10" s="6">
        <f>ROUND(L10*RPI,0)</f>
        <v>14853</v>
      </c>
      <c r="N10" s="6">
        <f>ROUND(M10*RPI,0)</f>
        <v>15299</v>
      </c>
    </row>
    <row r="11" spans="2:14" s="1" customFormat="1" x14ac:dyDescent="0.3">
      <c r="B11" s="2" t="s">
        <v>32</v>
      </c>
      <c r="C11" s="7">
        <f t="shared" ref="C11:I11" si="1">SUM(C9:C10)</f>
        <v>16000</v>
      </c>
      <c r="D11" s="7">
        <f t="shared" si="1"/>
        <v>15346</v>
      </c>
      <c r="E11" s="7">
        <f t="shared" si="1"/>
        <v>16560</v>
      </c>
      <c r="F11" s="7">
        <f t="shared" si="1"/>
        <v>0</v>
      </c>
      <c r="G11" s="7">
        <f t="shared" si="1"/>
        <v>16560</v>
      </c>
      <c r="H11" s="7">
        <f t="shared" si="1"/>
        <v>15719.500751259784</v>
      </c>
      <c r="I11" s="7">
        <f t="shared" si="1"/>
        <v>14000</v>
      </c>
      <c r="J11" s="50">
        <f>IFERROR(I11/E11,"N/A")</f>
        <v>0.84541062801932365</v>
      </c>
      <c r="K11" s="7"/>
      <c r="L11" s="7">
        <f>SUM(L9:L10)</f>
        <v>14420</v>
      </c>
      <c r="M11" s="7">
        <f>SUM(M9:M10)</f>
        <v>14853</v>
      </c>
      <c r="N11" s="7">
        <f>SUM(N9:N10)</f>
        <v>15299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x14ac:dyDescent="0.3">
      <c r="B13" s="2" t="s">
        <v>35</v>
      </c>
      <c r="C13" s="7">
        <f t="shared" ref="C13:I13" si="2">0.5*SUM(C5:C12)</f>
        <v>16100</v>
      </c>
      <c r="D13" s="7">
        <f t="shared" si="2"/>
        <v>15346</v>
      </c>
      <c r="E13" s="7">
        <f t="shared" si="2"/>
        <v>16663</v>
      </c>
      <c r="F13" s="7">
        <f t="shared" si="2"/>
        <v>0</v>
      </c>
      <c r="G13" s="7">
        <f t="shared" si="2"/>
        <v>16663</v>
      </c>
      <c r="H13" s="7">
        <f t="shared" si="2"/>
        <v>15822.500751259784</v>
      </c>
      <c r="I13" s="7">
        <f t="shared" si="2"/>
        <v>14106</v>
      </c>
      <c r="J13" s="50">
        <f>IFERROR(I13/E13,"N/A")</f>
        <v>0.84654624017283797</v>
      </c>
      <c r="K13" s="7"/>
      <c r="L13" s="7">
        <f>0.5*SUM(L5:L12)</f>
        <v>14529</v>
      </c>
      <c r="M13" s="7">
        <f>0.5*SUM(M5:M12)</f>
        <v>14965</v>
      </c>
      <c r="N13" s="7">
        <f>0.5*SUM(N5:N12)</f>
        <v>15414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43" t="s">
        <v>183</v>
      </c>
      <c r="C15" s="44">
        <v>-800</v>
      </c>
      <c r="D15" s="44">
        <v>0</v>
      </c>
      <c r="E15" s="44">
        <v>0</v>
      </c>
      <c r="F15" s="44"/>
      <c r="G15" s="44">
        <v>0</v>
      </c>
      <c r="H15" s="44"/>
      <c r="I15" s="44">
        <v>0</v>
      </c>
      <c r="J15" s="44"/>
      <c r="K15" s="44"/>
      <c r="L15" s="44">
        <v>0</v>
      </c>
      <c r="M15" s="44">
        <v>0</v>
      </c>
      <c r="N15" s="44">
        <v>0</v>
      </c>
    </row>
    <row r="16" spans="2:14" x14ac:dyDescent="0.3">
      <c r="B16" s="5" t="s">
        <v>85</v>
      </c>
      <c r="C16" s="6">
        <v>-700</v>
      </c>
      <c r="D16" s="6">
        <v>-2733</v>
      </c>
      <c r="E16" s="6">
        <v>-3470</v>
      </c>
      <c r="F16" s="6"/>
      <c r="G16" s="6">
        <v>-3470</v>
      </c>
      <c r="H16" s="6">
        <v>-2771</v>
      </c>
      <c r="I16" s="90">
        <v>-2771</v>
      </c>
      <c r="J16" s="49">
        <f>IFERROR(I16/E16,"N/A")</f>
        <v>0.79855907780979829</v>
      </c>
      <c r="K16" s="6"/>
      <c r="L16" s="6">
        <v>-2771</v>
      </c>
      <c r="M16" s="6">
        <v>-2771</v>
      </c>
      <c r="N16" s="6">
        <v>-2771</v>
      </c>
    </row>
    <row r="17" spans="2:14" s="1" customFormat="1" x14ac:dyDescent="0.3">
      <c r="B17" s="2" t="s">
        <v>34</v>
      </c>
      <c r="C17" s="7">
        <f>SUM(C15:C16)</f>
        <v>-1500</v>
      </c>
      <c r="D17" s="7">
        <f t="shared" ref="D17:I17" si="3">SUM(D16:D16)</f>
        <v>-2733</v>
      </c>
      <c r="E17" s="7">
        <f t="shared" si="3"/>
        <v>-3470</v>
      </c>
      <c r="F17" s="7">
        <f t="shared" si="3"/>
        <v>0</v>
      </c>
      <c r="G17" s="7">
        <f t="shared" si="3"/>
        <v>-3470</v>
      </c>
      <c r="H17" s="7">
        <f t="shared" si="3"/>
        <v>-2771</v>
      </c>
      <c r="I17" s="7">
        <f t="shared" si="3"/>
        <v>-2771</v>
      </c>
      <c r="J17" s="50">
        <f>IFERROR(I17/E17,"N/A")</f>
        <v>0.79855907780979829</v>
      </c>
      <c r="K17" s="7"/>
      <c r="L17" s="7">
        <f>SUM(L16:L16)</f>
        <v>-2771</v>
      </c>
      <c r="M17" s="7">
        <f>SUM(M16:M16)</f>
        <v>-2771</v>
      </c>
      <c r="N17" s="7">
        <f>SUM(N16:N16)</f>
        <v>-2771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4">C17+C13</f>
        <v>14600</v>
      </c>
      <c r="D19" s="7">
        <f t="shared" si="4"/>
        <v>12613</v>
      </c>
      <c r="E19" s="7">
        <f t="shared" si="4"/>
        <v>13193</v>
      </c>
      <c r="F19" s="7">
        <f t="shared" si="4"/>
        <v>0</v>
      </c>
      <c r="G19" s="7">
        <f t="shared" si="4"/>
        <v>13193</v>
      </c>
      <c r="H19" s="7">
        <f t="shared" si="4"/>
        <v>13051.500751259784</v>
      </c>
      <c r="I19" s="7">
        <f t="shared" si="4"/>
        <v>11335</v>
      </c>
      <c r="J19" s="50">
        <f>IFERROR(I19/E19,"N/A")</f>
        <v>0.85916774046843025</v>
      </c>
      <c r="K19" s="7"/>
      <c r="L19" s="7">
        <f>L17+L13</f>
        <v>11758</v>
      </c>
      <c r="M19" s="7">
        <f>M17+M13</f>
        <v>12194</v>
      </c>
      <c r="N19" s="7">
        <f>N17+N13</f>
        <v>12643</v>
      </c>
    </row>
  </sheetData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3:N26"/>
  <sheetViews>
    <sheetView topLeftCell="C3" workbookViewId="0">
      <selection activeCell="I17" sqref="I17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8.21875" customWidth="1"/>
    <col min="12" max="14" width="12.21875" customWidth="1"/>
  </cols>
  <sheetData>
    <row r="3" spans="2:14" s="1" customFormat="1" ht="43.2" x14ac:dyDescent="0.3">
      <c r="B3" s="2" t="s">
        <v>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f>G7+G8</f>
        <v>6077</v>
      </c>
      <c r="I6" s="94">
        <f>ROUND((G7+G8+'Kensington Gardens PC'!G6+'Kensington Gardens PC'!G7)*RPI,0)</f>
        <v>7702</v>
      </c>
      <c r="J6" s="49" t="str">
        <f>IFERROR(I6/E6,"N/A")</f>
        <v>N/A</v>
      </c>
      <c r="K6" s="6" t="s">
        <v>189</v>
      </c>
      <c r="L6" s="6">
        <f>ROUND(I6*RPI,0)</f>
        <v>7933</v>
      </c>
      <c r="M6" s="6">
        <f>ROUND(L6*RPI,0)</f>
        <v>8171</v>
      </c>
      <c r="N6" s="6">
        <f>ROUND(M6*RPI,0)</f>
        <v>8416</v>
      </c>
    </row>
    <row r="7" spans="2:14" x14ac:dyDescent="0.3">
      <c r="B7" s="12" t="s">
        <v>41</v>
      </c>
      <c r="C7" s="13">
        <v>400</v>
      </c>
      <c r="D7" s="13">
        <v>0</v>
      </c>
      <c r="E7" s="13">
        <v>412</v>
      </c>
      <c r="F7" s="13"/>
      <c r="G7" s="13">
        <v>412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5500</v>
      </c>
      <c r="D8" s="13">
        <v>0</v>
      </c>
      <c r="E8" s="13">
        <v>5665</v>
      </c>
      <c r="F8" s="13"/>
      <c r="G8" s="13">
        <v>5665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5" t="s">
        <v>86</v>
      </c>
      <c r="C9" s="6"/>
      <c r="D9" s="6">
        <v>0</v>
      </c>
      <c r="E9" s="6">
        <v>108</v>
      </c>
      <c r="F9" s="6"/>
      <c r="G9" s="6">
        <v>108</v>
      </c>
      <c r="H9" s="6">
        <v>144</v>
      </c>
      <c r="I9" s="94">
        <f>ROUND(G9*RPI,0)</f>
        <v>111</v>
      </c>
      <c r="J9" s="49">
        <f>IFERROR(I9/E9,"N/A")</f>
        <v>1.0277777777777777</v>
      </c>
      <c r="K9" s="6"/>
      <c r="L9" s="6">
        <f>ROUND(I9*RPI,0)</f>
        <v>114</v>
      </c>
      <c r="M9" s="6">
        <f>ROUND(L9*RPI,0)</f>
        <v>117</v>
      </c>
      <c r="N9" s="6">
        <f>ROUND(M9*RPI,0)</f>
        <v>121</v>
      </c>
    </row>
    <row r="10" spans="2:14" x14ac:dyDescent="0.3">
      <c r="B10" s="12" t="s">
        <v>58</v>
      </c>
      <c r="C10" s="13">
        <v>100</v>
      </c>
      <c r="D10" s="13"/>
      <c r="E10" s="13">
        <v>0</v>
      </c>
      <c r="F10" s="13"/>
      <c r="G10" s="13">
        <v>0</v>
      </c>
      <c r="H10" s="13">
        <v>0</v>
      </c>
      <c r="I10" s="13">
        <v>0</v>
      </c>
      <c r="J10" s="13"/>
      <c r="K10" s="13" t="s">
        <v>108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>SUM(C6:C10)</f>
        <v>6000</v>
      </c>
      <c r="D11" s="7">
        <f t="shared" ref="D11:M11" si="0">SUM(D6:D10)</f>
        <v>0</v>
      </c>
      <c r="E11" s="7">
        <f t="shared" si="0"/>
        <v>6185</v>
      </c>
      <c r="F11" s="7">
        <f t="shared" si="0"/>
        <v>0</v>
      </c>
      <c r="G11" s="7">
        <f t="shared" si="0"/>
        <v>6185</v>
      </c>
      <c r="H11" s="7">
        <f t="shared" si="0"/>
        <v>6221</v>
      </c>
      <c r="I11" s="7">
        <f t="shared" si="0"/>
        <v>7813</v>
      </c>
      <c r="J11" s="50">
        <f>IFERROR(I11/E11,"N/A")</f>
        <v>1.2632174616006466</v>
      </c>
      <c r="K11" s="7"/>
      <c r="L11" s="7">
        <f t="shared" si="0"/>
        <v>8047</v>
      </c>
      <c r="M11" s="7">
        <f t="shared" si="0"/>
        <v>8288</v>
      </c>
      <c r="N11" s="7">
        <f>SUM(N6:N10)</f>
        <v>8537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80</v>
      </c>
      <c r="C13" s="6">
        <v>88900</v>
      </c>
      <c r="D13" s="6">
        <v>109242</v>
      </c>
      <c r="E13" s="6">
        <v>92011</v>
      </c>
      <c r="F13" s="6"/>
      <c r="G13" s="6">
        <v>92011</v>
      </c>
      <c r="H13" s="6">
        <f>G13*700000/737428</f>
        <v>87341.001426579955</v>
      </c>
      <c r="I13" s="93">
        <v>73300</v>
      </c>
      <c r="J13" s="49">
        <f>IFERROR(I13/E13,"N/A")</f>
        <v>0.79664387953614246</v>
      </c>
      <c r="K13" s="6"/>
      <c r="L13" s="6">
        <f>ROUND(I13*RPI,0)</f>
        <v>75499</v>
      </c>
      <c r="M13" s="6">
        <f>ROUND(L13*RPI,0)</f>
        <v>77764</v>
      </c>
      <c r="N13" s="6">
        <f>ROUND(M13*RPI,0)</f>
        <v>80097</v>
      </c>
    </row>
    <row r="14" spans="2:14" ht="28.8" x14ac:dyDescent="0.3">
      <c r="B14" s="5" t="s">
        <v>181</v>
      </c>
      <c r="C14" s="6">
        <v>0</v>
      </c>
      <c r="D14" s="6">
        <v>0</v>
      </c>
      <c r="E14" s="6">
        <v>0</v>
      </c>
      <c r="F14" s="6"/>
      <c r="G14" s="6">
        <v>0</v>
      </c>
      <c r="H14" s="6">
        <v>0</v>
      </c>
      <c r="I14" s="93">
        <v>11200</v>
      </c>
      <c r="J14" s="49" t="str">
        <f>IFERROR(I14/E14,"N/A")</f>
        <v>N/A</v>
      </c>
      <c r="K14" s="16" t="s">
        <v>239</v>
      </c>
      <c r="L14" s="6">
        <f>ROUND(I14*RPI,0)</f>
        <v>11536</v>
      </c>
      <c r="M14" s="6">
        <f>ROUND(L14*RPI,0)</f>
        <v>11882</v>
      </c>
      <c r="N14" s="6">
        <f>ROUND(M14*RPI,0)</f>
        <v>12238</v>
      </c>
    </row>
    <row r="15" spans="2:14" s="1" customFormat="1" x14ac:dyDescent="0.3">
      <c r="B15" s="2" t="s">
        <v>32</v>
      </c>
      <c r="C15" s="7">
        <f>SUM(C12:C14)</f>
        <v>88900</v>
      </c>
      <c r="D15" s="7">
        <f>SUM(D12:D13)</f>
        <v>109242</v>
      </c>
      <c r="E15" s="7">
        <f>SUM(E12:E14)</f>
        <v>92011</v>
      </c>
      <c r="F15" s="7">
        <f>SUM(F12:F14)</f>
        <v>0</v>
      </c>
      <c r="G15" s="7">
        <f>SUM(G12:G14)</f>
        <v>92011</v>
      </c>
      <c r="H15" s="7">
        <f>SUM(H12:H14)</f>
        <v>87341.001426579955</v>
      </c>
      <c r="I15" s="7">
        <f>SUM(I12:I14)</f>
        <v>84500</v>
      </c>
      <c r="J15" s="50">
        <f>IFERROR(I15/E15,"N/A")</f>
        <v>0.91836845594548477</v>
      </c>
      <c r="K15" s="7"/>
      <c r="L15" s="7">
        <f>SUM(L12:L14)</f>
        <v>87035</v>
      </c>
      <c r="M15" s="7">
        <f>SUM(M12:M14)</f>
        <v>89646</v>
      </c>
      <c r="N15" s="7">
        <f>SUM(N12:N14)</f>
        <v>92335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3">
      <c r="B17" s="5" t="s">
        <v>82</v>
      </c>
      <c r="C17" s="6"/>
      <c r="D17" s="6"/>
      <c r="E17" s="6"/>
      <c r="F17" s="6"/>
      <c r="G17" s="6"/>
      <c r="H17" s="6"/>
      <c r="I17" s="92">
        <f>'CTax Options'!M13-'CTax Options'!N13</f>
        <v>4018</v>
      </c>
      <c r="J17" s="49" t="str">
        <f>IFERROR(I17/E17,"N/A")</f>
        <v>N/A</v>
      </c>
      <c r="K17" s="6"/>
      <c r="L17" s="6">
        <f>-L23</f>
        <v>9289</v>
      </c>
      <c r="M17" s="6">
        <f>-M23</f>
        <v>9568</v>
      </c>
      <c r="N17" s="6">
        <f>-N23</f>
        <v>9855</v>
      </c>
    </row>
    <row r="18" spans="2:14" s="1" customFormat="1" x14ac:dyDescent="0.3">
      <c r="B18" s="2" t="s">
        <v>32</v>
      </c>
      <c r="C18" s="7">
        <f t="shared" ref="C18:I18" si="1">SUM(C16:C17)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4018</v>
      </c>
      <c r="J18" s="50" t="str">
        <f>IFERROR(I18/E18,"N/A")</f>
        <v>N/A</v>
      </c>
      <c r="K18" s="7"/>
      <c r="L18" s="7">
        <f>SUM(L16:L17)</f>
        <v>9289</v>
      </c>
      <c r="M18" s="7">
        <f>SUM(M16:M17)</f>
        <v>9568</v>
      </c>
      <c r="N18" s="7">
        <f>SUM(N16:N17)</f>
        <v>9855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35</v>
      </c>
      <c r="C20" s="7">
        <f t="shared" ref="C20:I20" si="2">0.5*SUM(C5:C19)</f>
        <v>94900</v>
      </c>
      <c r="D20" s="7">
        <f t="shared" si="2"/>
        <v>109242</v>
      </c>
      <c r="E20" s="7">
        <f t="shared" si="2"/>
        <v>98196</v>
      </c>
      <c r="F20" s="7">
        <f t="shared" si="2"/>
        <v>0</v>
      </c>
      <c r="G20" s="7">
        <f t="shared" si="2"/>
        <v>98196</v>
      </c>
      <c r="H20" s="7">
        <f t="shared" si="2"/>
        <v>93562.001426579955</v>
      </c>
      <c r="I20" s="7">
        <f t="shared" si="2"/>
        <v>96331</v>
      </c>
      <c r="J20" s="50">
        <f>IFERROR(I20/E20,"N/A")</f>
        <v>0.98100737300908392</v>
      </c>
      <c r="K20" s="7"/>
      <c r="L20" s="7">
        <f>0.5*SUM(L5:L19)</f>
        <v>104371</v>
      </c>
      <c r="M20" s="7">
        <f>0.5*SUM(M5:M19)</f>
        <v>107502</v>
      </c>
      <c r="N20" s="7">
        <f>0.5*SUM(N5:N19)</f>
        <v>110727</v>
      </c>
    </row>
    <row r="21" spans="2:14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3">
      <c r="B22" s="5" t="s">
        <v>85</v>
      </c>
      <c r="C22" s="6">
        <v>-3100</v>
      </c>
      <c r="D22" s="6">
        <v>-2325</v>
      </c>
      <c r="E22" s="6">
        <v>-3145</v>
      </c>
      <c r="F22" s="6"/>
      <c r="G22" s="6">
        <v>-3145</v>
      </c>
      <c r="H22" s="6">
        <v>-3145</v>
      </c>
      <c r="I22" s="90">
        <v>-3145</v>
      </c>
      <c r="J22" s="49">
        <f>IFERROR(I22/E22,"N/A")</f>
        <v>1</v>
      </c>
      <c r="K22" s="6"/>
      <c r="L22" s="6">
        <v>-3145</v>
      </c>
      <c r="M22" s="6">
        <v>-3145</v>
      </c>
      <c r="N22" s="6">
        <v>-3145</v>
      </c>
    </row>
    <row r="23" spans="2:14" x14ac:dyDescent="0.3">
      <c r="B23" s="5" t="s">
        <v>87</v>
      </c>
      <c r="C23" s="6">
        <v>-8500</v>
      </c>
      <c r="D23" s="6">
        <v>-7940</v>
      </c>
      <c r="E23" s="6">
        <v>0</v>
      </c>
      <c r="F23" s="6"/>
      <c r="G23" s="6">
        <v>0</v>
      </c>
      <c r="H23" s="6">
        <v>0</v>
      </c>
      <c r="I23" s="92">
        <f>ROUND(C23*RPI*RPI,0)</f>
        <v>-9018</v>
      </c>
      <c r="J23" s="49" t="str">
        <f>IFERROR(I23/E23,"N/A")</f>
        <v>N/A</v>
      </c>
      <c r="K23" s="6"/>
      <c r="L23" s="6">
        <f>ROUND(I23*RPI,0)</f>
        <v>-9289</v>
      </c>
      <c r="M23" s="6">
        <f>ROUND(L23*RPI,0)</f>
        <v>-9568</v>
      </c>
      <c r="N23" s="6">
        <f>ROUND(M23*RPI,0)</f>
        <v>-9855</v>
      </c>
    </row>
    <row r="24" spans="2:14" s="1" customFormat="1" x14ac:dyDescent="0.3">
      <c r="B24" s="2" t="s">
        <v>34</v>
      </c>
      <c r="C24" s="7">
        <f t="shared" ref="C24:I24" si="3">SUM(C22:C23)</f>
        <v>-11600</v>
      </c>
      <c r="D24" s="7">
        <f t="shared" si="3"/>
        <v>-10265</v>
      </c>
      <c r="E24" s="7">
        <f t="shared" si="3"/>
        <v>-3145</v>
      </c>
      <c r="F24" s="7">
        <f t="shared" si="3"/>
        <v>0</v>
      </c>
      <c r="G24" s="7">
        <f t="shared" si="3"/>
        <v>-3145</v>
      </c>
      <c r="H24" s="7">
        <f t="shared" si="3"/>
        <v>-3145</v>
      </c>
      <c r="I24" s="7">
        <f t="shared" si="3"/>
        <v>-12163</v>
      </c>
      <c r="J24" s="50">
        <f>IFERROR(I24/E24,"N/A")</f>
        <v>3.8674085850556437</v>
      </c>
      <c r="K24" s="7"/>
      <c r="L24" s="7">
        <f>SUM(L22:L23)</f>
        <v>-12434</v>
      </c>
      <c r="M24" s="7">
        <f>SUM(M22:M23)</f>
        <v>-12713</v>
      </c>
      <c r="N24" s="7">
        <f>SUM(N22:N23)</f>
        <v>-13000</v>
      </c>
    </row>
    <row r="25" spans="2:14" x14ac:dyDescent="0.3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s="1" customFormat="1" x14ac:dyDescent="0.3">
      <c r="B26" s="2" t="s">
        <v>33</v>
      </c>
      <c r="C26" s="7">
        <f t="shared" ref="C26:I26" si="4">C24+C20</f>
        <v>83300</v>
      </c>
      <c r="D26" s="7">
        <f t="shared" si="4"/>
        <v>98977</v>
      </c>
      <c r="E26" s="7">
        <f t="shared" si="4"/>
        <v>95051</v>
      </c>
      <c r="F26" s="7">
        <f t="shared" si="4"/>
        <v>0</v>
      </c>
      <c r="G26" s="7">
        <f t="shared" si="4"/>
        <v>95051</v>
      </c>
      <c r="H26" s="7">
        <f t="shared" si="4"/>
        <v>90417.001426579955</v>
      </c>
      <c r="I26" s="7">
        <f t="shared" si="4"/>
        <v>84168</v>
      </c>
      <c r="J26" s="50">
        <f>IFERROR(I26/E26,"N/A")</f>
        <v>0.88550357176673578</v>
      </c>
      <c r="K26" s="7"/>
      <c r="L26" s="7">
        <f>L24+L20</f>
        <v>91937</v>
      </c>
      <c r="M26" s="7">
        <f>M24+M20</f>
        <v>94789</v>
      </c>
      <c r="N26" s="7">
        <f>N24+N20</f>
        <v>97727</v>
      </c>
    </row>
  </sheetData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3:N19"/>
  <sheetViews>
    <sheetView workbookViewId="0">
      <selection activeCell="K20" sqref="K20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12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12" t="s">
        <v>43</v>
      </c>
      <c r="C6" s="13">
        <v>900</v>
      </c>
      <c r="D6" s="13">
        <v>0</v>
      </c>
      <c r="E6" s="13">
        <v>927</v>
      </c>
      <c r="F6" s="13"/>
      <c r="G6" s="13">
        <v>927</v>
      </c>
      <c r="H6" s="13">
        <f>G6</f>
        <v>927</v>
      </c>
      <c r="I6" s="13">
        <v>0</v>
      </c>
      <c r="J6" s="13"/>
      <c r="K6" s="13" t="s">
        <v>187</v>
      </c>
      <c r="L6" s="13">
        <v>0</v>
      </c>
      <c r="M6" s="13">
        <v>0</v>
      </c>
      <c r="N6" s="13">
        <v>0</v>
      </c>
    </row>
    <row r="7" spans="2:14" x14ac:dyDescent="0.3">
      <c r="B7" s="12" t="s">
        <v>41</v>
      </c>
      <c r="C7" s="13">
        <v>0</v>
      </c>
      <c r="D7" s="13">
        <v>0</v>
      </c>
      <c r="E7" s="13">
        <v>474</v>
      </c>
      <c r="F7" s="13"/>
      <c r="G7" s="13">
        <v>474</v>
      </c>
      <c r="H7" s="13">
        <f>G7</f>
        <v>474</v>
      </c>
      <c r="I7" s="13">
        <v>0</v>
      </c>
      <c r="J7" s="13"/>
      <c r="K7" s="13" t="s">
        <v>187</v>
      </c>
      <c r="L7" s="13">
        <v>0</v>
      </c>
      <c r="M7" s="13">
        <v>0</v>
      </c>
      <c r="N7" s="13">
        <v>0</v>
      </c>
    </row>
    <row r="8" spans="2:14" x14ac:dyDescent="0.3">
      <c r="B8" s="12" t="s">
        <v>58</v>
      </c>
      <c r="C8" s="13">
        <v>100</v>
      </c>
      <c r="D8" s="13">
        <v>0</v>
      </c>
      <c r="E8" s="13">
        <v>0</v>
      </c>
      <c r="F8" s="13"/>
      <c r="G8" s="13">
        <v>0</v>
      </c>
      <c r="H8" s="13">
        <v>0</v>
      </c>
      <c r="I8" s="13">
        <v>0</v>
      </c>
      <c r="J8" s="13"/>
      <c r="K8" s="13" t="s">
        <v>108</v>
      </c>
      <c r="L8" s="13">
        <v>0</v>
      </c>
      <c r="M8" s="13">
        <v>0</v>
      </c>
      <c r="N8" s="13">
        <v>0</v>
      </c>
    </row>
    <row r="9" spans="2:14" x14ac:dyDescent="0.3">
      <c r="B9" s="12" t="s">
        <v>79</v>
      </c>
      <c r="C9" s="13">
        <v>2000</v>
      </c>
      <c r="D9" s="13">
        <v>3113</v>
      </c>
      <c r="E9" s="13">
        <v>0</v>
      </c>
      <c r="F9" s="13"/>
      <c r="G9" s="13">
        <v>0</v>
      </c>
      <c r="H9" s="13">
        <f>288*10</f>
        <v>2880</v>
      </c>
      <c r="I9" s="13">
        <v>0</v>
      </c>
      <c r="J9" s="13"/>
      <c r="K9" s="13"/>
      <c r="L9" s="13">
        <v>0</v>
      </c>
      <c r="M9" s="13">
        <v>0</v>
      </c>
      <c r="N9" s="13">
        <v>0</v>
      </c>
    </row>
    <row r="10" spans="2:14" s="1" customFormat="1" x14ac:dyDescent="0.3">
      <c r="B10" s="2" t="s">
        <v>32</v>
      </c>
      <c r="C10" s="7">
        <f t="shared" ref="C10:I10" si="0">SUM(C6:C9)</f>
        <v>3000</v>
      </c>
      <c r="D10" s="7">
        <f t="shared" si="0"/>
        <v>3113</v>
      </c>
      <c r="E10" s="7">
        <f t="shared" si="0"/>
        <v>1401</v>
      </c>
      <c r="F10" s="7">
        <f t="shared" si="0"/>
        <v>0</v>
      </c>
      <c r="G10" s="7">
        <f t="shared" si="0"/>
        <v>1401</v>
      </c>
      <c r="H10" s="7">
        <f t="shared" si="0"/>
        <v>4281</v>
      </c>
      <c r="I10" s="7">
        <f t="shared" si="0"/>
        <v>0</v>
      </c>
      <c r="J10" s="7"/>
      <c r="K10" s="7"/>
      <c r="L10" s="7">
        <f>SUM(L6:L9)</f>
        <v>0</v>
      </c>
      <c r="M10" s="7">
        <f>SUM(M6:M9)</f>
        <v>0</v>
      </c>
      <c r="N10" s="7">
        <f>SUM(N6:N9)</f>
        <v>0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12" t="s">
        <v>111</v>
      </c>
      <c r="C12" s="13">
        <v>18800</v>
      </c>
      <c r="D12" s="13"/>
      <c r="E12" s="13">
        <v>19458</v>
      </c>
      <c r="F12" s="13"/>
      <c r="G12" s="13">
        <v>19458</v>
      </c>
      <c r="H12" s="13">
        <f>G12*700000/737428</f>
        <v>18470.413382730247</v>
      </c>
      <c r="I12" s="13">
        <v>0</v>
      </c>
      <c r="J12" s="54">
        <f>IFERROR(I12/E12,"N/A")</f>
        <v>0</v>
      </c>
      <c r="K12" s="13" t="s">
        <v>188</v>
      </c>
      <c r="L12" s="13">
        <f>ROUND(I12*RPI,0)</f>
        <v>0</v>
      </c>
      <c r="M12" s="13">
        <f>ROUND(L12*RPI,0)</f>
        <v>0</v>
      </c>
      <c r="N12" s="13">
        <f>ROUND(M12*RPI,0)</f>
        <v>0</v>
      </c>
    </row>
    <row r="13" spans="2:14" s="1" customFormat="1" x14ac:dyDescent="0.3">
      <c r="B13" s="2" t="s">
        <v>32</v>
      </c>
      <c r="C13" s="7">
        <f t="shared" ref="C13:I13" si="1">SUM(C11:C12)</f>
        <v>18800</v>
      </c>
      <c r="D13" s="7">
        <f t="shared" si="1"/>
        <v>0</v>
      </c>
      <c r="E13" s="7">
        <f t="shared" si="1"/>
        <v>19458</v>
      </c>
      <c r="F13" s="7">
        <f t="shared" si="1"/>
        <v>0</v>
      </c>
      <c r="G13" s="7">
        <f t="shared" si="1"/>
        <v>19458</v>
      </c>
      <c r="H13" s="7">
        <f t="shared" si="1"/>
        <v>18470.413382730247</v>
      </c>
      <c r="I13" s="7">
        <f t="shared" si="1"/>
        <v>0</v>
      </c>
      <c r="J13" s="50">
        <f>IFERROR(I13/E13,"N/A")</f>
        <v>0</v>
      </c>
      <c r="K13" s="7"/>
      <c r="L13" s="7">
        <f>SUM(L11:L12)</f>
        <v>0</v>
      </c>
      <c r="M13" s="7">
        <f>SUM(M11:M12)</f>
        <v>0</v>
      </c>
      <c r="N13" s="7">
        <f>SUM(N11:N12)</f>
        <v>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35</v>
      </c>
      <c r="C15" s="7">
        <f t="shared" ref="C15:I15" si="2">0.5*SUM(C5:C14)</f>
        <v>21800</v>
      </c>
      <c r="D15" s="7">
        <f t="shared" si="2"/>
        <v>3113</v>
      </c>
      <c r="E15" s="7">
        <f t="shared" si="2"/>
        <v>20859</v>
      </c>
      <c r="F15" s="7">
        <f t="shared" si="2"/>
        <v>0</v>
      </c>
      <c r="G15" s="7">
        <f t="shared" si="2"/>
        <v>20859</v>
      </c>
      <c r="H15" s="7">
        <f t="shared" si="2"/>
        <v>22751.413382730247</v>
      </c>
      <c r="I15" s="7">
        <f t="shared" si="2"/>
        <v>0</v>
      </c>
      <c r="J15" s="50">
        <f>IFERROR(I15/E15,"N/A")</f>
        <v>0</v>
      </c>
      <c r="K15" s="7"/>
      <c r="L15" s="7">
        <f>0.5*SUM(L5:L14)</f>
        <v>0</v>
      </c>
      <c r="M15" s="7">
        <f>0.5*SUM(M5:M14)</f>
        <v>0</v>
      </c>
      <c r="N15" s="7">
        <f>0.5*SUM(N5:N14)</f>
        <v>0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34</v>
      </c>
      <c r="C17" s="7">
        <f>SUM(C16:C16)</f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  <c r="L17" s="7">
        <v>0</v>
      </c>
      <c r="M17" s="7">
        <v>0</v>
      </c>
      <c r="N17" s="7">
        <v>0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3">C17+C15</f>
        <v>21800</v>
      </c>
      <c r="D19" s="7">
        <f t="shared" si="3"/>
        <v>3113</v>
      </c>
      <c r="E19" s="7">
        <f t="shared" si="3"/>
        <v>20859</v>
      </c>
      <c r="F19" s="7">
        <f t="shared" si="3"/>
        <v>0</v>
      </c>
      <c r="G19" s="7">
        <f t="shared" si="3"/>
        <v>20859</v>
      </c>
      <c r="H19" s="7">
        <f t="shared" si="3"/>
        <v>22751.413382730247</v>
      </c>
      <c r="I19" s="7">
        <f t="shared" si="3"/>
        <v>0</v>
      </c>
      <c r="J19" s="50">
        <f>IFERROR(I19/E19,"N/A")</f>
        <v>0</v>
      </c>
      <c r="K19" s="7"/>
      <c r="L19" s="7">
        <f>L17+L15</f>
        <v>0</v>
      </c>
      <c r="M19" s="7">
        <f>M17+M15</f>
        <v>0</v>
      </c>
      <c r="N19" s="7">
        <f>N17+N15</f>
        <v>0</v>
      </c>
    </row>
  </sheetData>
  <pageMargins left="0.7" right="0.7" top="0.75" bottom="0.75" header="0.3" footer="0.3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3:N36"/>
  <sheetViews>
    <sheetView topLeftCell="C10" workbookViewId="0">
      <selection activeCell="I19" sqref="I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7" customWidth="1"/>
    <col min="12" max="14" width="12.21875" customWidth="1"/>
  </cols>
  <sheetData>
    <row r="3" spans="2:14" s="1" customFormat="1" ht="43.2" x14ac:dyDescent="0.3">
      <c r="B3" s="2" t="s">
        <v>7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34" t="s">
        <v>184</v>
      </c>
      <c r="C6" s="35">
        <v>400</v>
      </c>
      <c r="D6" s="35">
        <v>0</v>
      </c>
      <c r="E6" s="35">
        <v>0</v>
      </c>
      <c r="F6" s="35"/>
      <c r="G6" s="35">
        <v>0</v>
      </c>
      <c r="H6" s="35">
        <v>0</v>
      </c>
      <c r="I6" s="35">
        <v>0</v>
      </c>
      <c r="J6" s="35"/>
      <c r="K6" s="35"/>
      <c r="L6" s="35">
        <v>0</v>
      </c>
      <c r="M6" s="35">
        <v>0</v>
      </c>
      <c r="N6" s="35">
        <v>0</v>
      </c>
    </row>
    <row r="7" spans="2:14" s="8" customFormat="1" x14ac:dyDescent="0.3">
      <c r="B7" s="34" t="s">
        <v>88</v>
      </c>
      <c r="C7" s="35">
        <v>4200</v>
      </c>
      <c r="D7" s="35">
        <v>0</v>
      </c>
      <c r="E7" s="35">
        <v>4326</v>
      </c>
      <c r="F7" s="35"/>
      <c r="G7" s="35">
        <v>4326</v>
      </c>
      <c r="H7" s="35">
        <v>4326</v>
      </c>
      <c r="I7" s="35">
        <v>0</v>
      </c>
      <c r="J7" s="35"/>
      <c r="K7" s="35" t="s">
        <v>233</v>
      </c>
      <c r="L7" s="35">
        <f>ROUND(I7*RPI,0)</f>
        <v>0</v>
      </c>
      <c r="M7" s="35">
        <f>ROUND(L7*RPI,0)</f>
        <v>0</v>
      </c>
      <c r="N7" s="35">
        <f>ROUND(M7*RPI,0)</f>
        <v>0</v>
      </c>
    </row>
    <row r="8" spans="2:14" x14ac:dyDescent="0.3">
      <c r="B8" s="5" t="s">
        <v>89</v>
      </c>
      <c r="C8" s="6">
        <v>1400</v>
      </c>
      <c r="D8" s="6">
        <v>0</v>
      </c>
      <c r="E8" s="6">
        <v>50000</v>
      </c>
      <c r="F8" s="6"/>
      <c r="G8" s="6">
        <v>50000</v>
      </c>
      <c r="H8" s="17"/>
      <c r="I8" s="91">
        <f>'CTax Options'!M14-'CTax Options'!N14</f>
        <v>50000</v>
      </c>
      <c r="J8" s="49">
        <f>IFERROR(I8/E8,"N/A")</f>
        <v>1</v>
      </c>
      <c r="K8" s="6"/>
      <c r="L8" s="6">
        <v>50000</v>
      </c>
      <c r="M8" s="6">
        <v>50000</v>
      </c>
      <c r="N8" s="6">
        <v>50000</v>
      </c>
    </row>
    <row r="9" spans="2:14" s="1" customFormat="1" x14ac:dyDescent="0.3">
      <c r="B9" s="2" t="s">
        <v>32</v>
      </c>
      <c r="C9" s="7">
        <f t="shared" ref="C9:I9" si="0">SUM(C6:C8)</f>
        <v>6000</v>
      </c>
      <c r="D9" s="7">
        <f t="shared" si="0"/>
        <v>0</v>
      </c>
      <c r="E9" s="7">
        <f t="shared" si="0"/>
        <v>54326</v>
      </c>
      <c r="F9" s="7">
        <f t="shared" si="0"/>
        <v>0</v>
      </c>
      <c r="G9" s="7">
        <f t="shared" si="0"/>
        <v>54326</v>
      </c>
      <c r="H9" s="7">
        <f t="shared" si="0"/>
        <v>4326</v>
      </c>
      <c r="I9" s="7">
        <f t="shared" si="0"/>
        <v>50000</v>
      </c>
      <c r="J9" s="50">
        <f>IFERROR(I9/E9,"N/A")</f>
        <v>0.92036962043956849</v>
      </c>
      <c r="K9" s="7"/>
      <c r="L9" s="7">
        <f>SUM(L7:L8)</f>
        <v>50000</v>
      </c>
      <c r="M9" s="7">
        <f>SUM(M7:M8)</f>
        <v>50000</v>
      </c>
      <c r="N9" s="7">
        <f>SUM(N7:N8)</f>
        <v>50000</v>
      </c>
    </row>
    <row r="10" spans="2:14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s="8" customFormat="1" x14ac:dyDescent="0.3">
      <c r="B11" s="83" t="s">
        <v>90</v>
      </c>
      <c r="C11" s="35">
        <v>1800</v>
      </c>
      <c r="D11" s="35">
        <v>1726</v>
      </c>
      <c r="E11" s="35">
        <v>1863</v>
      </c>
      <c r="F11" s="35"/>
      <c r="G11" s="35">
        <v>1863</v>
      </c>
      <c r="H11" s="35">
        <f>G11*700000/737428</f>
        <v>1768.4438345167257</v>
      </c>
      <c r="I11" s="35"/>
      <c r="J11" s="35"/>
      <c r="K11" s="35" t="s">
        <v>233</v>
      </c>
      <c r="L11" s="35">
        <f t="shared" ref="L11:L29" si="1">ROUND(I11*RPI,0)</f>
        <v>0</v>
      </c>
      <c r="M11" s="35">
        <f t="shared" ref="M11:N29" si="2">ROUND(L11*RPI,0)</f>
        <v>0</v>
      </c>
      <c r="N11" s="35">
        <f t="shared" si="2"/>
        <v>0</v>
      </c>
    </row>
    <row r="12" spans="2:14" x14ac:dyDescent="0.3">
      <c r="B12" s="9" t="s">
        <v>91</v>
      </c>
      <c r="C12" s="6">
        <v>6300</v>
      </c>
      <c r="D12" s="6">
        <v>6042</v>
      </c>
      <c r="E12" s="6">
        <v>6520</v>
      </c>
      <c r="F12" s="6"/>
      <c r="G12" s="6">
        <v>6520</v>
      </c>
      <c r="H12" s="17">
        <f>G12*700000/737428</f>
        <v>6189.0787982013162</v>
      </c>
      <c r="I12" s="93">
        <v>1900</v>
      </c>
      <c r="J12" s="49">
        <f t="shared" ref="J12:J30" si="3">IFERROR(I12/E12,"N/A")</f>
        <v>0.29141104294478526</v>
      </c>
      <c r="K12" s="6"/>
      <c r="L12" s="6">
        <f t="shared" si="1"/>
        <v>1957</v>
      </c>
      <c r="M12" s="6">
        <f t="shared" si="2"/>
        <v>2016</v>
      </c>
      <c r="N12" s="6">
        <f t="shared" si="2"/>
        <v>2076</v>
      </c>
    </row>
    <row r="13" spans="2:14" x14ac:dyDescent="0.3">
      <c r="B13" s="9" t="s">
        <v>92</v>
      </c>
      <c r="C13" s="6">
        <v>7900</v>
      </c>
      <c r="D13" s="6">
        <v>7577</v>
      </c>
      <c r="E13" s="6">
        <v>8176</v>
      </c>
      <c r="F13" s="6"/>
      <c r="G13" s="6">
        <v>8176</v>
      </c>
      <c r="H13" s="17">
        <f>G13*700000/737428</f>
        <v>7761.0288733272946</v>
      </c>
      <c r="I13" s="93">
        <v>2800</v>
      </c>
      <c r="J13" s="49">
        <f t="shared" si="3"/>
        <v>0.34246575342465752</v>
      </c>
      <c r="K13" s="6"/>
      <c r="L13" s="6">
        <f t="shared" si="1"/>
        <v>2884</v>
      </c>
      <c r="M13" s="6">
        <f t="shared" si="2"/>
        <v>2971</v>
      </c>
      <c r="N13" s="6">
        <f t="shared" si="2"/>
        <v>3060</v>
      </c>
    </row>
    <row r="14" spans="2:14" x14ac:dyDescent="0.3">
      <c r="B14" s="15" t="s">
        <v>93</v>
      </c>
      <c r="C14" s="6">
        <v>200</v>
      </c>
      <c r="D14" s="6">
        <f>ROUND(C14*D13/C13,0)</f>
        <v>192</v>
      </c>
      <c r="E14" s="6">
        <v>207</v>
      </c>
      <c r="F14" s="6"/>
      <c r="G14" s="6">
        <v>207</v>
      </c>
      <c r="H14" s="17">
        <f>G14*700000/737428</f>
        <v>196.4937593907473</v>
      </c>
      <c r="I14" s="93">
        <v>400</v>
      </c>
      <c r="J14" s="49">
        <f t="shared" si="3"/>
        <v>1.932367149758454</v>
      </c>
      <c r="K14" s="6"/>
      <c r="L14" s="6">
        <f t="shared" si="1"/>
        <v>412</v>
      </c>
      <c r="M14" s="6">
        <f t="shared" si="2"/>
        <v>424</v>
      </c>
      <c r="N14" s="6">
        <f t="shared" si="2"/>
        <v>437</v>
      </c>
    </row>
    <row r="15" spans="2:14" x14ac:dyDescent="0.3">
      <c r="B15" s="9" t="s">
        <v>171</v>
      </c>
      <c r="C15" s="6">
        <v>2200</v>
      </c>
      <c r="D15" s="6">
        <v>2110</v>
      </c>
      <c r="E15" s="6">
        <v>2277</v>
      </c>
      <c r="F15" s="6"/>
      <c r="G15" s="6">
        <v>2277</v>
      </c>
      <c r="H15" s="17">
        <f t="shared" ref="H15:H29" si="4">G15*700000/737428</f>
        <v>2161.4313532982201</v>
      </c>
      <c r="I15" s="93">
        <v>1200</v>
      </c>
      <c r="J15" s="49">
        <f t="shared" si="3"/>
        <v>0.5270092226613966</v>
      </c>
      <c r="K15" s="6"/>
      <c r="L15" s="6">
        <f t="shared" si="1"/>
        <v>1236</v>
      </c>
      <c r="M15" s="6">
        <f t="shared" si="2"/>
        <v>1273</v>
      </c>
      <c r="N15" s="6">
        <f t="shared" si="2"/>
        <v>1311</v>
      </c>
    </row>
    <row r="16" spans="2:14" x14ac:dyDescent="0.3">
      <c r="B16" s="9" t="s">
        <v>50</v>
      </c>
      <c r="C16" s="6">
        <v>1400</v>
      </c>
      <c r="D16" s="6">
        <f t="shared" ref="D16:D26" si="5">ROUND(C16*D15/C15,0)</f>
        <v>1343</v>
      </c>
      <c r="E16" s="6">
        <v>1449</v>
      </c>
      <c r="F16" s="6"/>
      <c r="G16" s="6">
        <v>1449</v>
      </c>
      <c r="H16" s="17">
        <f t="shared" si="4"/>
        <v>1375.4563157352311</v>
      </c>
      <c r="I16" s="93">
        <v>3300</v>
      </c>
      <c r="J16" s="49">
        <f t="shared" si="3"/>
        <v>2.2774327122153211</v>
      </c>
      <c r="K16" s="6"/>
      <c r="L16" s="6">
        <f t="shared" si="1"/>
        <v>3399</v>
      </c>
      <c r="M16" s="6">
        <f t="shared" si="2"/>
        <v>3501</v>
      </c>
      <c r="N16" s="6">
        <f t="shared" si="2"/>
        <v>3606</v>
      </c>
    </row>
    <row r="17" spans="2:14" x14ac:dyDescent="0.3">
      <c r="B17" s="9" t="s">
        <v>51</v>
      </c>
      <c r="C17" s="6">
        <v>1400</v>
      </c>
      <c r="D17" s="6">
        <f t="shared" si="5"/>
        <v>1343</v>
      </c>
      <c r="E17" s="6">
        <v>1449</v>
      </c>
      <c r="F17" s="6"/>
      <c r="G17" s="6">
        <v>1449</v>
      </c>
      <c r="H17" s="17">
        <f t="shared" si="4"/>
        <v>1375.4563157352311</v>
      </c>
      <c r="I17" s="93">
        <v>1800</v>
      </c>
      <c r="J17" s="49">
        <f t="shared" si="3"/>
        <v>1.2422360248447204</v>
      </c>
      <c r="K17" s="6"/>
      <c r="L17" s="6">
        <f t="shared" si="1"/>
        <v>1854</v>
      </c>
      <c r="M17" s="6">
        <f t="shared" si="2"/>
        <v>1910</v>
      </c>
      <c r="N17" s="6">
        <f t="shared" si="2"/>
        <v>1967</v>
      </c>
    </row>
    <row r="18" spans="2:14" x14ac:dyDescent="0.3">
      <c r="B18" s="9" t="s">
        <v>94</v>
      </c>
      <c r="C18" s="6">
        <v>1400</v>
      </c>
      <c r="D18" s="6">
        <f t="shared" si="5"/>
        <v>1343</v>
      </c>
      <c r="E18" s="6">
        <v>1449</v>
      </c>
      <c r="F18" s="6"/>
      <c r="G18" s="6">
        <v>1449</v>
      </c>
      <c r="H18" s="17">
        <f t="shared" si="4"/>
        <v>1375.4563157352311</v>
      </c>
      <c r="I18" s="93">
        <v>6100</v>
      </c>
      <c r="J18" s="49">
        <f t="shared" si="3"/>
        <v>4.2097998619737753</v>
      </c>
      <c r="K18" s="6"/>
      <c r="L18" s="6">
        <f t="shared" si="1"/>
        <v>6283</v>
      </c>
      <c r="M18" s="6">
        <f t="shared" si="2"/>
        <v>6471</v>
      </c>
      <c r="N18" s="6">
        <f t="shared" si="2"/>
        <v>6665</v>
      </c>
    </row>
    <row r="19" spans="2:14" x14ac:dyDescent="0.3">
      <c r="B19" s="15" t="s">
        <v>95</v>
      </c>
      <c r="C19" s="6">
        <v>1100</v>
      </c>
      <c r="D19" s="6">
        <f t="shared" si="5"/>
        <v>1055</v>
      </c>
      <c r="E19" s="6">
        <v>1139</v>
      </c>
      <c r="F19" s="6"/>
      <c r="G19" s="6">
        <v>1139</v>
      </c>
      <c r="H19" s="17">
        <f t="shared" si="4"/>
        <v>1081.1902992563341</v>
      </c>
      <c r="I19" s="93">
        <v>1300</v>
      </c>
      <c r="J19" s="49">
        <f t="shared" si="3"/>
        <v>1.1413520632133451</v>
      </c>
      <c r="K19" s="6"/>
      <c r="L19" s="6">
        <f t="shared" si="1"/>
        <v>1339</v>
      </c>
      <c r="M19" s="6">
        <f t="shared" si="2"/>
        <v>1379</v>
      </c>
      <c r="N19" s="6">
        <f t="shared" si="2"/>
        <v>1420</v>
      </c>
    </row>
    <row r="20" spans="2:14" x14ac:dyDescent="0.3">
      <c r="B20" s="9" t="s">
        <v>52</v>
      </c>
      <c r="C20" s="6">
        <v>1400</v>
      </c>
      <c r="D20" s="6">
        <f t="shared" si="5"/>
        <v>1343</v>
      </c>
      <c r="E20" s="6">
        <v>1449</v>
      </c>
      <c r="F20" s="6"/>
      <c r="G20" s="6">
        <v>1449</v>
      </c>
      <c r="H20" s="17">
        <f t="shared" si="4"/>
        <v>1375.4563157352311</v>
      </c>
      <c r="I20" s="93">
        <v>2300</v>
      </c>
      <c r="J20" s="49">
        <f t="shared" si="3"/>
        <v>1.5873015873015872</v>
      </c>
      <c r="K20" s="6"/>
      <c r="L20" s="6">
        <f t="shared" si="1"/>
        <v>2369</v>
      </c>
      <c r="M20" s="6">
        <f t="shared" si="2"/>
        <v>2440</v>
      </c>
      <c r="N20" s="6">
        <f t="shared" si="2"/>
        <v>2513</v>
      </c>
    </row>
    <row r="21" spans="2:14" x14ac:dyDescent="0.3">
      <c r="B21" s="15" t="s">
        <v>96</v>
      </c>
      <c r="C21" s="6">
        <v>1400</v>
      </c>
      <c r="D21" s="6">
        <f t="shared" si="5"/>
        <v>1343</v>
      </c>
      <c r="E21" s="6">
        <v>1449</v>
      </c>
      <c r="F21" s="6"/>
      <c r="G21" s="6">
        <v>1449</v>
      </c>
      <c r="H21" s="17">
        <f t="shared" si="4"/>
        <v>1375.4563157352311</v>
      </c>
      <c r="I21" s="93">
        <v>0</v>
      </c>
      <c r="J21" s="49">
        <f t="shared" si="3"/>
        <v>0</v>
      </c>
      <c r="K21" s="6"/>
      <c r="L21" s="6">
        <f t="shared" si="1"/>
        <v>0</v>
      </c>
      <c r="M21" s="6">
        <f t="shared" si="2"/>
        <v>0</v>
      </c>
      <c r="N21" s="6">
        <f t="shared" si="2"/>
        <v>0</v>
      </c>
    </row>
    <row r="22" spans="2:14" x14ac:dyDescent="0.3">
      <c r="B22" s="9" t="s">
        <v>97</v>
      </c>
      <c r="C22" s="6">
        <v>1200</v>
      </c>
      <c r="D22" s="6">
        <f t="shared" si="5"/>
        <v>1151</v>
      </c>
      <c r="E22" s="6">
        <v>1242</v>
      </c>
      <c r="F22" s="6"/>
      <c r="G22" s="6">
        <v>1242</v>
      </c>
      <c r="H22" s="17">
        <f t="shared" si="4"/>
        <v>1178.9625563444838</v>
      </c>
      <c r="I22" s="93">
        <v>2100</v>
      </c>
      <c r="J22" s="49">
        <f t="shared" si="3"/>
        <v>1.6908212560386473</v>
      </c>
      <c r="K22" s="6"/>
      <c r="L22" s="6">
        <f t="shared" si="1"/>
        <v>2163</v>
      </c>
      <c r="M22" s="6">
        <f t="shared" si="2"/>
        <v>2228</v>
      </c>
      <c r="N22" s="6">
        <f t="shared" si="2"/>
        <v>2295</v>
      </c>
    </row>
    <row r="23" spans="2:14" x14ac:dyDescent="0.3">
      <c r="B23" s="9" t="s">
        <v>98</v>
      </c>
      <c r="C23" s="6">
        <v>1400</v>
      </c>
      <c r="D23" s="6">
        <f t="shared" si="5"/>
        <v>1343</v>
      </c>
      <c r="E23" s="6">
        <v>1449</v>
      </c>
      <c r="F23" s="6"/>
      <c r="G23" s="6">
        <v>1449</v>
      </c>
      <c r="H23" s="17">
        <f t="shared" si="4"/>
        <v>1375.4563157352311</v>
      </c>
      <c r="I23" s="93">
        <v>6900</v>
      </c>
      <c r="J23" s="49">
        <f t="shared" si="3"/>
        <v>4.7619047619047619</v>
      </c>
      <c r="K23" s="6"/>
      <c r="L23" s="6">
        <f t="shared" si="1"/>
        <v>7107</v>
      </c>
      <c r="M23" s="6">
        <f t="shared" si="2"/>
        <v>7320</v>
      </c>
      <c r="N23" s="6">
        <f t="shared" si="2"/>
        <v>7540</v>
      </c>
    </row>
    <row r="24" spans="2:14" x14ac:dyDescent="0.3">
      <c r="B24" s="9" t="s">
        <v>53</v>
      </c>
      <c r="C24" s="6">
        <v>1400</v>
      </c>
      <c r="D24" s="6">
        <f t="shared" si="5"/>
        <v>1343</v>
      </c>
      <c r="E24" s="6">
        <v>1449</v>
      </c>
      <c r="F24" s="6"/>
      <c r="G24" s="6">
        <v>1449</v>
      </c>
      <c r="H24" s="17">
        <f t="shared" si="4"/>
        <v>1375.4563157352311</v>
      </c>
      <c r="I24" s="93">
        <v>2600</v>
      </c>
      <c r="J24" s="49">
        <f t="shared" si="3"/>
        <v>1.7943409247757074</v>
      </c>
      <c r="K24" s="6"/>
      <c r="L24" s="6">
        <f t="shared" si="1"/>
        <v>2678</v>
      </c>
      <c r="M24" s="6">
        <f t="shared" si="2"/>
        <v>2758</v>
      </c>
      <c r="N24" s="6">
        <f t="shared" si="2"/>
        <v>2841</v>
      </c>
    </row>
    <row r="25" spans="2:14" x14ac:dyDescent="0.3">
      <c r="B25" s="9" t="s">
        <v>54</v>
      </c>
      <c r="C25" s="6">
        <v>1400</v>
      </c>
      <c r="D25" s="6">
        <f t="shared" si="5"/>
        <v>1343</v>
      </c>
      <c r="E25" s="6">
        <v>1449</v>
      </c>
      <c r="F25" s="6"/>
      <c r="G25" s="6">
        <v>1449</v>
      </c>
      <c r="H25" s="17">
        <f t="shared" si="4"/>
        <v>1375.4563157352311</v>
      </c>
      <c r="I25" s="93">
        <v>2100</v>
      </c>
      <c r="J25" s="49">
        <f t="shared" si="3"/>
        <v>1.4492753623188406</v>
      </c>
      <c r="K25" s="6"/>
      <c r="L25" s="6">
        <f t="shared" si="1"/>
        <v>2163</v>
      </c>
      <c r="M25" s="6">
        <f t="shared" si="2"/>
        <v>2228</v>
      </c>
      <c r="N25" s="6">
        <f t="shared" si="2"/>
        <v>2295</v>
      </c>
    </row>
    <row r="26" spans="2:14" x14ac:dyDescent="0.3">
      <c r="B26" s="9" t="s">
        <v>55</v>
      </c>
      <c r="C26" s="6">
        <v>1400</v>
      </c>
      <c r="D26" s="6">
        <f t="shared" si="5"/>
        <v>1343</v>
      </c>
      <c r="E26" s="6">
        <v>1449</v>
      </c>
      <c r="F26" s="6"/>
      <c r="G26" s="6">
        <v>1449</v>
      </c>
      <c r="H26" s="17">
        <f t="shared" si="4"/>
        <v>1375.4563157352311</v>
      </c>
      <c r="I26" s="93">
        <v>5200</v>
      </c>
      <c r="J26" s="49">
        <f t="shared" si="3"/>
        <v>3.5886818495514148</v>
      </c>
      <c r="K26" s="6"/>
      <c r="L26" s="6">
        <f t="shared" si="1"/>
        <v>5356</v>
      </c>
      <c r="M26" s="6">
        <f t="shared" si="2"/>
        <v>5517</v>
      </c>
      <c r="N26" s="6">
        <f t="shared" si="2"/>
        <v>5683</v>
      </c>
    </row>
    <row r="27" spans="2:14" x14ac:dyDescent="0.3">
      <c r="B27" s="9" t="s">
        <v>178</v>
      </c>
      <c r="C27" s="6">
        <v>0</v>
      </c>
      <c r="D27" s="6"/>
      <c r="E27" s="6">
        <v>0</v>
      </c>
      <c r="F27" s="6"/>
      <c r="G27" s="6">
        <v>0</v>
      </c>
      <c r="H27" s="17"/>
      <c r="I27" s="93">
        <v>3400</v>
      </c>
      <c r="J27" s="49" t="str">
        <f t="shared" si="3"/>
        <v>N/A</v>
      </c>
      <c r="K27" s="6" t="s">
        <v>179</v>
      </c>
      <c r="L27" s="6">
        <f t="shared" si="1"/>
        <v>3502</v>
      </c>
      <c r="M27" s="6">
        <f t="shared" si="2"/>
        <v>3607</v>
      </c>
      <c r="N27" s="6">
        <f t="shared" si="2"/>
        <v>3715</v>
      </c>
    </row>
    <row r="28" spans="2:14" x14ac:dyDescent="0.3">
      <c r="B28" s="9" t="s">
        <v>255</v>
      </c>
      <c r="C28" s="6">
        <v>0</v>
      </c>
      <c r="D28" s="6"/>
      <c r="E28" s="6">
        <v>0</v>
      </c>
      <c r="F28" s="6"/>
      <c r="G28" s="6">
        <v>0</v>
      </c>
      <c r="H28" s="17"/>
      <c r="I28" s="93">
        <v>2100</v>
      </c>
      <c r="J28" s="49" t="str">
        <f t="shared" si="3"/>
        <v>N/A</v>
      </c>
      <c r="K28" s="6"/>
      <c r="L28" s="6">
        <f t="shared" si="1"/>
        <v>2163</v>
      </c>
      <c r="M28" s="6">
        <f t="shared" si="2"/>
        <v>2228</v>
      </c>
      <c r="N28" s="6">
        <f t="shared" si="2"/>
        <v>2295</v>
      </c>
    </row>
    <row r="29" spans="2:14" x14ac:dyDescent="0.3">
      <c r="B29" s="9" t="s">
        <v>99</v>
      </c>
      <c r="C29" s="6">
        <v>0</v>
      </c>
      <c r="D29" s="6">
        <v>0</v>
      </c>
      <c r="E29" s="6">
        <v>518</v>
      </c>
      <c r="F29" s="6"/>
      <c r="G29" s="6">
        <v>518</v>
      </c>
      <c r="H29" s="17">
        <f t="shared" si="4"/>
        <v>491.70902108409229</v>
      </c>
      <c r="I29" s="93">
        <v>0</v>
      </c>
      <c r="J29" s="49">
        <f t="shared" si="3"/>
        <v>0</v>
      </c>
      <c r="K29" s="6"/>
      <c r="L29" s="6">
        <f t="shared" si="1"/>
        <v>0</v>
      </c>
      <c r="M29" s="6">
        <f t="shared" si="2"/>
        <v>0</v>
      </c>
      <c r="N29" s="6">
        <f t="shared" si="2"/>
        <v>0</v>
      </c>
    </row>
    <row r="30" spans="2:14" s="1" customFormat="1" x14ac:dyDescent="0.3">
      <c r="B30" s="2" t="s">
        <v>32</v>
      </c>
      <c r="C30" s="7">
        <f t="shared" ref="C30:I30" si="6">SUM(C10:C29)</f>
        <v>33300</v>
      </c>
      <c r="D30" s="7">
        <f t="shared" si="6"/>
        <v>31940</v>
      </c>
      <c r="E30" s="7">
        <f t="shared" si="6"/>
        <v>34983</v>
      </c>
      <c r="F30" s="7">
        <f t="shared" si="6"/>
        <v>0</v>
      </c>
      <c r="G30" s="7">
        <f t="shared" si="6"/>
        <v>34983</v>
      </c>
      <c r="H30" s="7">
        <f t="shared" si="6"/>
        <v>33207.445337036297</v>
      </c>
      <c r="I30" s="7">
        <f t="shared" si="6"/>
        <v>45500</v>
      </c>
      <c r="J30" s="50">
        <f t="shared" si="3"/>
        <v>1.3006317354143442</v>
      </c>
      <c r="K30" s="7"/>
      <c r="L30" s="7">
        <f>SUM(L10:L29)</f>
        <v>46865</v>
      </c>
      <c r="M30" s="7">
        <f>SUM(M10:M29)</f>
        <v>48271</v>
      </c>
      <c r="N30" s="7">
        <f>SUM(N10:N29)</f>
        <v>49719</v>
      </c>
    </row>
    <row r="31" spans="2:14" x14ac:dyDescent="0.3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s="1" customFormat="1" x14ac:dyDescent="0.3">
      <c r="B32" s="2" t="s">
        <v>35</v>
      </c>
      <c r="C32" s="7">
        <f t="shared" ref="C32:I32" si="7">0.5*SUM(C5:C31)</f>
        <v>39300</v>
      </c>
      <c r="D32" s="7">
        <f t="shared" si="7"/>
        <v>31940</v>
      </c>
      <c r="E32" s="7">
        <f t="shared" si="7"/>
        <v>89309</v>
      </c>
      <c r="F32" s="7">
        <f t="shared" si="7"/>
        <v>0</v>
      </c>
      <c r="G32" s="7">
        <f t="shared" si="7"/>
        <v>89309</v>
      </c>
      <c r="H32" s="7">
        <f t="shared" si="7"/>
        <v>37533.445337036297</v>
      </c>
      <c r="I32" s="7">
        <f t="shared" si="7"/>
        <v>95500</v>
      </c>
      <c r="J32" s="50">
        <f>IFERROR(I32/E32,"N/A")</f>
        <v>1.0693211210516298</v>
      </c>
      <c r="K32" s="7"/>
      <c r="L32" s="7">
        <f>0.5*SUM(L5:L31)</f>
        <v>96865</v>
      </c>
      <c r="M32" s="7">
        <f>0.5*SUM(M5:M31)</f>
        <v>98271</v>
      </c>
      <c r="N32" s="7">
        <f>0.5*SUM(N5:N31)</f>
        <v>99719</v>
      </c>
    </row>
    <row r="33" spans="2:14" x14ac:dyDescent="0.3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s="1" customFormat="1" x14ac:dyDescent="0.3">
      <c r="B34" s="2" t="s">
        <v>34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/>
      <c r="K34" s="7"/>
      <c r="L34" s="7">
        <v>0</v>
      </c>
      <c r="M34" s="7">
        <v>0</v>
      </c>
      <c r="N34" s="7">
        <v>0</v>
      </c>
    </row>
    <row r="35" spans="2:14" x14ac:dyDescent="0.3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s="1" customFormat="1" x14ac:dyDescent="0.3">
      <c r="B36" s="2" t="s">
        <v>33</v>
      </c>
      <c r="C36" s="7">
        <f t="shared" ref="C36:I36" si="8">C34+C32</f>
        <v>39300</v>
      </c>
      <c r="D36" s="7">
        <f t="shared" si="8"/>
        <v>31940</v>
      </c>
      <c r="E36" s="7">
        <f t="shared" si="8"/>
        <v>89309</v>
      </c>
      <c r="F36" s="7">
        <f t="shared" si="8"/>
        <v>0</v>
      </c>
      <c r="G36" s="7">
        <f t="shared" si="8"/>
        <v>89309</v>
      </c>
      <c r="H36" s="7">
        <f t="shared" si="8"/>
        <v>37533.445337036297</v>
      </c>
      <c r="I36" s="7">
        <f t="shared" si="8"/>
        <v>95500</v>
      </c>
      <c r="J36" s="50">
        <f>IFERROR(I36/E36,"N/A")</f>
        <v>1.0693211210516298</v>
      </c>
      <c r="K36" s="7"/>
      <c r="L36" s="7">
        <f>L34+L32</f>
        <v>96865</v>
      </c>
      <c r="M36" s="7">
        <f>M34+M32</f>
        <v>98271</v>
      </c>
      <c r="N36" s="7">
        <f>N34+N32</f>
        <v>99719</v>
      </c>
    </row>
  </sheetData>
  <pageMargins left="0.7" right="0.7" top="0.75" bottom="0.75" header="0.3" footer="0.3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3:N15"/>
  <sheetViews>
    <sheetView topLeftCell="C1" workbookViewId="0">
      <selection activeCell="I6" sqref="I6"/>
    </sheetView>
  </sheetViews>
  <sheetFormatPr defaultRowHeight="14.4" x14ac:dyDescent="0.3"/>
  <cols>
    <col min="1" max="1" width="4.44140625" style="10" customWidth="1"/>
    <col min="2" max="2" width="41.6640625" style="10" customWidth="1"/>
    <col min="3" max="3" width="12.21875" style="10" customWidth="1"/>
    <col min="4" max="4" width="15.77734375" style="10" customWidth="1"/>
    <col min="5" max="10" width="12.21875" style="10" customWidth="1"/>
    <col min="11" max="11" width="27.77734375" style="10" customWidth="1"/>
    <col min="12" max="14" width="12.21875" style="10" customWidth="1"/>
    <col min="15" max="16384" width="8.88671875" style="10"/>
  </cols>
  <sheetData>
    <row r="3" spans="2:14" s="41" customFormat="1" ht="43.2" x14ac:dyDescent="0.3">
      <c r="B3" s="29" t="s">
        <v>49</v>
      </c>
      <c r="C3" s="40" t="s">
        <v>23</v>
      </c>
      <c r="D3" s="40" t="s">
        <v>22</v>
      </c>
      <c r="E3" s="40" t="s">
        <v>24</v>
      </c>
      <c r="F3" s="40" t="s">
        <v>25</v>
      </c>
      <c r="G3" s="40" t="s">
        <v>26</v>
      </c>
      <c r="H3" s="40" t="s">
        <v>232</v>
      </c>
      <c r="I3" s="40" t="s">
        <v>27</v>
      </c>
      <c r="J3" s="40" t="s">
        <v>190</v>
      </c>
      <c r="K3" s="40" t="s">
        <v>28</v>
      </c>
      <c r="L3" s="40" t="s">
        <v>29</v>
      </c>
      <c r="M3" s="40" t="s">
        <v>30</v>
      </c>
      <c r="N3" s="40" t="s">
        <v>31</v>
      </c>
    </row>
    <row r="4" spans="2:14" s="41" customFormat="1" x14ac:dyDescent="0.3">
      <c r="B4" s="29"/>
      <c r="C4" s="42" t="s">
        <v>36</v>
      </c>
      <c r="D4" s="42" t="s">
        <v>36</v>
      </c>
      <c r="E4" s="42" t="s">
        <v>36</v>
      </c>
      <c r="F4" s="42" t="s">
        <v>36</v>
      </c>
      <c r="G4" s="42" t="s">
        <v>36</v>
      </c>
      <c r="H4" s="42" t="s">
        <v>36</v>
      </c>
      <c r="I4" s="42" t="s">
        <v>36</v>
      </c>
      <c r="J4" s="42" t="s">
        <v>36</v>
      </c>
      <c r="K4" s="42"/>
      <c r="L4" s="42" t="s">
        <v>36</v>
      </c>
      <c r="M4" s="42" t="s">
        <v>36</v>
      </c>
      <c r="N4" s="42" t="s">
        <v>36</v>
      </c>
    </row>
    <row r="5" spans="2:14" x14ac:dyDescent="0.3">
      <c r="B5" s="3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x14ac:dyDescent="0.3">
      <c r="B6" s="37" t="s">
        <v>113</v>
      </c>
      <c r="C6" s="17">
        <v>0</v>
      </c>
      <c r="D6" s="17"/>
      <c r="E6" s="17">
        <v>0</v>
      </c>
      <c r="F6" s="17"/>
      <c r="G6" s="17">
        <v>0</v>
      </c>
      <c r="H6" s="17"/>
      <c r="I6" s="17">
        <f>ROUND('Fen Park PC'!G6*RPI,0)</f>
        <v>7725</v>
      </c>
      <c r="J6" s="52" t="str">
        <f>IFERROR(I6/E6,"N/A")</f>
        <v>N/A</v>
      </c>
      <c r="K6" s="17" t="s">
        <v>240</v>
      </c>
      <c r="L6" s="17">
        <f>ROUND(I6*RPI,0)</f>
        <v>7957</v>
      </c>
      <c r="M6" s="17">
        <f t="shared" ref="M6:N8" si="0">ROUND(L6*RPI,0)</f>
        <v>8196</v>
      </c>
      <c r="N6" s="17">
        <f t="shared" si="0"/>
        <v>8442</v>
      </c>
    </row>
    <row r="7" spans="2:14" x14ac:dyDescent="0.3">
      <c r="B7" s="15" t="s">
        <v>90</v>
      </c>
      <c r="C7" s="17">
        <v>0</v>
      </c>
      <c r="D7" s="17"/>
      <c r="E7" s="17">
        <v>0</v>
      </c>
      <c r="F7" s="17"/>
      <c r="G7" s="17">
        <v>0</v>
      </c>
      <c r="H7" s="17"/>
      <c r="I7" s="93">
        <v>4200</v>
      </c>
      <c r="J7" s="52" t="str">
        <f>IFERROR(I7/E7,"N/A")</f>
        <v>N/A</v>
      </c>
      <c r="K7" s="17" t="s">
        <v>241</v>
      </c>
      <c r="L7" s="17">
        <f>ROUND(I7*RPI,0)</f>
        <v>4326</v>
      </c>
      <c r="M7" s="17">
        <f t="shared" si="0"/>
        <v>4456</v>
      </c>
      <c r="N7" s="17">
        <f t="shared" si="0"/>
        <v>4590</v>
      </c>
    </row>
    <row r="8" spans="2:14" ht="28.8" x14ac:dyDescent="0.3">
      <c r="B8" s="37" t="s">
        <v>43</v>
      </c>
      <c r="C8" s="17">
        <v>0</v>
      </c>
      <c r="D8" s="17"/>
      <c r="E8" s="17">
        <v>0</v>
      </c>
      <c r="F8" s="17"/>
      <c r="G8" s="17">
        <v>0</v>
      </c>
      <c r="H8" s="17"/>
      <c r="I8" s="94">
        <f>ROUND('Play Areas'!G7*RPI,0)</f>
        <v>4456</v>
      </c>
      <c r="J8" s="52" t="str">
        <f>IFERROR(I8/E8,"N/A")</f>
        <v>N/A</v>
      </c>
      <c r="K8" s="21" t="s">
        <v>242</v>
      </c>
      <c r="L8" s="17">
        <f>ROUND(I8*RPI,0)</f>
        <v>4590</v>
      </c>
      <c r="M8" s="17">
        <f t="shared" si="0"/>
        <v>4728</v>
      </c>
      <c r="N8" s="17">
        <f t="shared" si="0"/>
        <v>4870</v>
      </c>
    </row>
    <row r="9" spans="2:14" s="41" customFormat="1" x14ac:dyDescent="0.3">
      <c r="B9" s="29" t="s">
        <v>32</v>
      </c>
      <c r="C9" s="20">
        <f t="shared" ref="C9:I9" si="1">SUM(C6:C8)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16381</v>
      </c>
      <c r="J9" s="53" t="str">
        <f>IFERROR(I9/E9,"N/A")</f>
        <v>N/A</v>
      </c>
      <c r="K9" s="20"/>
      <c r="L9" s="20">
        <f>SUM(L6:L8)</f>
        <v>16873</v>
      </c>
      <c r="M9" s="20">
        <f>SUM(M6:M8)</f>
        <v>17380</v>
      </c>
      <c r="N9" s="20">
        <f>SUM(N6:N8)</f>
        <v>17902</v>
      </c>
    </row>
    <row r="10" spans="2:14" x14ac:dyDescent="0.3"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s="41" customFormat="1" x14ac:dyDescent="0.3">
      <c r="B11" s="29" t="s">
        <v>35</v>
      </c>
      <c r="C11" s="20">
        <f t="shared" ref="C11:I11" si="2">0.5*SUM(C5:C10)</f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16381</v>
      </c>
      <c r="J11" s="53" t="str">
        <f>IFERROR(I11/E11,"N/A")</f>
        <v>N/A</v>
      </c>
      <c r="K11" s="20"/>
      <c r="L11" s="20">
        <f>0.5*SUM(L5:L10)</f>
        <v>16873</v>
      </c>
      <c r="M11" s="20">
        <f>0.5*SUM(M5:M10)</f>
        <v>17380</v>
      </c>
      <c r="N11" s="20">
        <f>0.5*SUM(N5:N10)</f>
        <v>17902</v>
      </c>
    </row>
    <row r="12" spans="2:14" x14ac:dyDescent="0.3"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s="41" customFormat="1" x14ac:dyDescent="0.3">
      <c r="B13" s="29" t="s">
        <v>34</v>
      </c>
      <c r="C13" s="20">
        <f t="shared" ref="C13:I13" si="3">SUM(C12:C12)</f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  <c r="I13" s="20">
        <f t="shared" si="3"/>
        <v>0</v>
      </c>
      <c r="J13" s="20"/>
      <c r="K13" s="20"/>
      <c r="L13" s="20">
        <f>SUM(L12:L12)</f>
        <v>0</v>
      </c>
      <c r="M13" s="20">
        <f>SUM(M12:M12)</f>
        <v>0</v>
      </c>
      <c r="N13" s="20">
        <f>SUM(N12:N12)</f>
        <v>0</v>
      </c>
    </row>
    <row r="14" spans="2:14" x14ac:dyDescent="0.3">
      <c r="B14" s="3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s="41" customFormat="1" x14ac:dyDescent="0.3">
      <c r="B15" s="29" t="s">
        <v>33</v>
      </c>
      <c r="C15" s="20">
        <f t="shared" ref="C15:I15" si="4">C13+C11</f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16381</v>
      </c>
      <c r="J15" s="53" t="str">
        <f>IFERROR(I15/E15,"N/A")</f>
        <v>N/A</v>
      </c>
      <c r="K15" s="20"/>
      <c r="L15" s="20">
        <f>L13+L11</f>
        <v>16873</v>
      </c>
      <c r="M15" s="20">
        <f>M13+M11</f>
        <v>17380</v>
      </c>
      <c r="N15" s="20">
        <f>N13+N11</f>
        <v>17902</v>
      </c>
    </row>
  </sheetData>
  <pageMargins left="0.7" right="0.7" top="0.75" bottom="0.7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3:N25"/>
  <sheetViews>
    <sheetView topLeftCell="C2" workbookViewId="0">
      <selection activeCell="I18" sqref="I18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8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/>
      <c r="E6" s="6">
        <v>0</v>
      </c>
      <c r="F6" s="6"/>
      <c r="G6" s="6">
        <v>0</v>
      </c>
      <c r="H6" s="6">
        <f>G7+G8+G9</f>
        <v>2946</v>
      </c>
      <c r="I6" s="94">
        <f>ROUND((G7+G8+G9)*RPI,0)</f>
        <v>3034</v>
      </c>
      <c r="J6" s="49" t="str">
        <f>IFERROR(I6/E6,"N/A")</f>
        <v>N/A</v>
      </c>
      <c r="K6" s="6"/>
      <c r="L6" s="6">
        <f>ROUND(I6*RPI,0)</f>
        <v>3125</v>
      </c>
      <c r="M6" s="6">
        <f>ROUND(L6*RPI,0)</f>
        <v>3219</v>
      </c>
      <c r="N6" s="6">
        <f>ROUND(M6*RPI,0)</f>
        <v>3316</v>
      </c>
    </row>
    <row r="7" spans="2:14" x14ac:dyDescent="0.3">
      <c r="B7" s="12" t="s">
        <v>41</v>
      </c>
      <c r="C7" s="13">
        <v>1200</v>
      </c>
      <c r="D7" s="13">
        <v>0</v>
      </c>
      <c r="E7" s="13">
        <v>1710</v>
      </c>
      <c r="F7" s="13"/>
      <c r="G7" s="13">
        <f>E7</f>
        <v>1710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600</v>
      </c>
      <c r="D8" s="13">
        <v>0</v>
      </c>
      <c r="E8" s="13">
        <v>618</v>
      </c>
      <c r="F8" s="13"/>
      <c r="G8" s="13">
        <f>E8</f>
        <v>618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40</v>
      </c>
      <c r="C9" s="13">
        <v>600</v>
      </c>
      <c r="D9" s="13">
        <v>0</v>
      </c>
      <c r="E9" s="13">
        <v>618</v>
      </c>
      <c r="F9" s="13"/>
      <c r="G9" s="13">
        <f>E9</f>
        <v>618</v>
      </c>
      <c r="H9" s="13"/>
      <c r="I9" s="13">
        <v>0</v>
      </c>
      <c r="J9" s="13"/>
      <c r="K9" s="13" t="s">
        <v>101</v>
      </c>
      <c r="L9" s="13">
        <v>0</v>
      </c>
      <c r="M9" s="13">
        <v>0</v>
      </c>
      <c r="N9" s="13">
        <v>0</v>
      </c>
    </row>
    <row r="10" spans="2:14" x14ac:dyDescent="0.3">
      <c r="B10" s="12" t="s">
        <v>58</v>
      </c>
      <c r="C10" s="13">
        <v>600</v>
      </c>
      <c r="D10" s="13">
        <v>0</v>
      </c>
      <c r="E10" s="13">
        <v>0</v>
      </c>
      <c r="F10" s="13"/>
      <c r="G10" s="13">
        <v>0</v>
      </c>
      <c r="H10" s="13"/>
      <c r="I10" s="13">
        <v>0</v>
      </c>
      <c r="J10" s="13"/>
      <c r="K10" s="13" t="s">
        <v>108</v>
      </c>
      <c r="L10" s="13">
        <v>0</v>
      </c>
      <c r="M10" s="13">
        <v>0</v>
      </c>
      <c r="N10" s="13">
        <v>0</v>
      </c>
    </row>
    <row r="11" spans="2:14" x14ac:dyDescent="0.3">
      <c r="B11" s="5" t="s">
        <v>86</v>
      </c>
      <c r="C11" s="6">
        <v>0</v>
      </c>
      <c r="D11" s="6">
        <v>0</v>
      </c>
      <c r="E11" s="6">
        <v>242</v>
      </c>
      <c r="F11" s="6"/>
      <c r="G11" s="6">
        <f>E11</f>
        <v>242</v>
      </c>
      <c r="H11" s="6"/>
      <c r="I11" s="94">
        <f>ROUND(G11*RPI,0)</f>
        <v>249</v>
      </c>
      <c r="J11" s="49">
        <f>IFERROR(I11/E11,"N/A")</f>
        <v>1.0289256198347108</v>
      </c>
      <c r="K11" s="6"/>
      <c r="L11" s="6">
        <f>ROUND(I11*RPI,0)</f>
        <v>256</v>
      </c>
      <c r="M11" s="6">
        <f>ROUND(L11*RPI,0)</f>
        <v>264</v>
      </c>
      <c r="N11" s="6">
        <f>ROUND(M11*RPI,0)</f>
        <v>272</v>
      </c>
    </row>
    <row r="12" spans="2:14" s="1" customFormat="1" x14ac:dyDescent="0.3">
      <c r="B12" s="2" t="s">
        <v>32</v>
      </c>
      <c r="C12" s="7">
        <f t="shared" ref="C12:I12" si="0">SUM(C6:C11)</f>
        <v>3000</v>
      </c>
      <c r="D12" s="7">
        <f t="shared" si="0"/>
        <v>0</v>
      </c>
      <c r="E12" s="7">
        <f t="shared" si="0"/>
        <v>3188</v>
      </c>
      <c r="F12" s="7">
        <f t="shared" si="0"/>
        <v>0</v>
      </c>
      <c r="G12" s="7">
        <f t="shared" si="0"/>
        <v>3188</v>
      </c>
      <c r="H12" s="7">
        <f t="shared" si="0"/>
        <v>2946</v>
      </c>
      <c r="I12" s="7">
        <f t="shared" si="0"/>
        <v>3283</v>
      </c>
      <c r="J12" s="50">
        <f>IFERROR(I12/E12,"N/A")</f>
        <v>1.0297992471769135</v>
      </c>
      <c r="K12" s="7"/>
      <c r="L12" s="7">
        <f>SUM(L6:L11)</f>
        <v>3381</v>
      </c>
      <c r="M12" s="7">
        <f>SUM(M6:M11)</f>
        <v>3483</v>
      </c>
      <c r="N12" s="7">
        <f>SUM(N6:N11)</f>
        <v>3588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5" t="s">
        <v>80</v>
      </c>
      <c r="C14" s="6">
        <v>82900</v>
      </c>
      <c r="D14" s="6">
        <v>79510</v>
      </c>
      <c r="E14" s="6">
        <v>85802</v>
      </c>
      <c r="F14" s="6"/>
      <c r="G14" s="6">
        <f>E14</f>
        <v>85802</v>
      </c>
      <c r="H14" s="6">
        <f>G14*700000/737428</f>
        <v>81447.137890071986</v>
      </c>
      <c r="I14" s="93">
        <v>62100</v>
      </c>
      <c r="J14" s="49">
        <f>IFERROR(I14/E14,"N/A")</f>
        <v>0.7237593529288362</v>
      </c>
      <c r="K14" s="6"/>
      <c r="L14" s="6">
        <f>ROUND(I14*RPI,0)</f>
        <v>63963</v>
      </c>
      <c r="M14" s="6">
        <f>ROUND(L14*RPI,0)</f>
        <v>65882</v>
      </c>
      <c r="N14" s="6">
        <f>ROUND(M14*RPI,0)</f>
        <v>67858</v>
      </c>
    </row>
    <row r="15" spans="2:14" s="1" customFormat="1" x14ac:dyDescent="0.3">
      <c r="B15" s="2" t="s">
        <v>32</v>
      </c>
      <c r="C15" s="7">
        <f t="shared" ref="C15:I15" si="1">SUM(C13:C14)</f>
        <v>82900</v>
      </c>
      <c r="D15" s="7">
        <f t="shared" si="1"/>
        <v>79510</v>
      </c>
      <c r="E15" s="7">
        <f t="shared" si="1"/>
        <v>85802</v>
      </c>
      <c r="F15" s="7">
        <f t="shared" si="1"/>
        <v>0</v>
      </c>
      <c r="G15" s="7">
        <f t="shared" si="1"/>
        <v>85802</v>
      </c>
      <c r="H15" s="7">
        <f t="shared" si="1"/>
        <v>81447.137890071986</v>
      </c>
      <c r="I15" s="7">
        <f t="shared" si="1"/>
        <v>62100</v>
      </c>
      <c r="J15" s="50">
        <f>IFERROR(I15/E15,"N/A")</f>
        <v>0.7237593529288362</v>
      </c>
      <c r="K15" s="7"/>
      <c r="L15" s="7">
        <f>SUM(L13:L14)</f>
        <v>63963</v>
      </c>
      <c r="M15" s="7">
        <f>SUM(M13:M14)</f>
        <v>65882</v>
      </c>
      <c r="N15" s="7">
        <f>SUM(N13:N14)</f>
        <v>67858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3">
      <c r="B17" s="5" t="s">
        <v>82</v>
      </c>
      <c r="C17" s="6">
        <v>0</v>
      </c>
      <c r="D17" s="6"/>
      <c r="E17" s="6">
        <v>0</v>
      </c>
      <c r="F17" s="6"/>
      <c r="G17" s="6">
        <v>0</v>
      </c>
      <c r="H17" s="6">
        <v>0</v>
      </c>
      <c r="I17" s="92">
        <f>'CTax Options'!M15-'CTax Options'!N15</f>
        <v>10503</v>
      </c>
      <c r="J17" s="49" t="str">
        <f>IFERROR(I17/E17,"N/A")</f>
        <v>N/A</v>
      </c>
      <c r="K17" s="6"/>
      <c r="L17" s="6">
        <f>-L22</f>
        <v>10818</v>
      </c>
      <c r="M17" s="6">
        <f>-M22</f>
        <v>11143</v>
      </c>
      <c r="N17" s="6">
        <f>-N22</f>
        <v>11477</v>
      </c>
    </row>
    <row r="18" spans="2:14" s="1" customFormat="1" x14ac:dyDescent="0.3">
      <c r="B18" s="2" t="s">
        <v>32</v>
      </c>
      <c r="C18" s="7">
        <f t="shared" ref="C18:I18" si="2">SUM(C16:C17)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10503</v>
      </c>
      <c r="J18" s="50" t="str">
        <f>IFERROR(I18/E18,"N/A")</f>
        <v>N/A</v>
      </c>
      <c r="K18" s="7"/>
      <c r="L18" s="7">
        <f>SUM(L16:L17)</f>
        <v>10818</v>
      </c>
      <c r="M18" s="7">
        <f>SUM(M16:M17)</f>
        <v>11143</v>
      </c>
      <c r="N18" s="7">
        <f>SUM(N16:N17)</f>
        <v>11477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35</v>
      </c>
      <c r="C20" s="7">
        <f t="shared" ref="C20:I20" si="3">0.5*SUM(C5:C19)</f>
        <v>85900</v>
      </c>
      <c r="D20" s="7">
        <f t="shared" si="3"/>
        <v>79510</v>
      </c>
      <c r="E20" s="7">
        <f t="shared" si="3"/>
        <v>88990</v>
      </c>
      <c r="F20" s="7">
        <f t="shared" si="3"/>
        <v>0</v>
      </c>
      <c r="G20" s="7">
        <f t="shared" si="3"/>
        <v>88990</v>
      </c>
      <c r="H20" s="7">
        <f t="shared" si="3"/>
        <v>84393.137890071986</v>
      </c>
      <c r="I20" s="7">
        <f t="shared" si="3"/>
        <v>75886</v>
      </c>
      <c r="J20" s="50">
        <f>IFERROR(I20/E20,"N/A")</f>
        <v>0.8527474997190696</v>
      </c>
      <c r="K20" s="7"/>
      <c r="L20" s="7">
        <f>0.5*SUM(L5:L19)</f>
        <v>78162</v>
      </c>
      <c r="M20" s="7">
        <f>0.5*SUM(M5:M19)</f>
        <v>80508</v>
      </c>
      <c r="N20" s="7">
        <f>0.5*SUM(N5:N19)</f>
        <v>82923</v>
      </c>
    </row>
    <row r="21" spans="2:14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3">
      <c r="B22" s="5" t="s">
        <v>87</v>
      </c>
      <c r="C22" s="6">
        <v>-9900</v>
      </c>
      <c r="D22" s="6">
        <v>-7267</v>
      </c>
      <c r="E22" s="6">
        <v>0</v>
      </c>
      <c r="F22" s="6"/>
      <c r="G22" s="6">
        <v>0</v>
      </c>
      <c r="H22" s="6">
        <v>0</v>
      </c>
      <c r="I22" s="92">
        <f>ROUND(C22*RPI*RPI,0)</f>
        <v>-10503</v>
      </c>
      <c r="J22" s="52" t="str">
        <f>IFERROR(I22/E22,"N/A")</f>
        <v>N/A</v>
      </c>
      <c r="K22" s="6"/>
      <c r="L22" s="6">
        <f>ROUND(I22*RPI,0)</f>
        <v>-10818</v>
      </c>
      <c r="M22" s="6">
        <f>ROUND(L22*RPI,0)</f>
        <v>-11143</v>
      </c>
      <c r="N22" s="6">
        <f>ROUND(M22*RPI,0)</f>
        <v>-11477</v>
      </c>
    </row>
    <row r="23" spans="2:14" s="1" customFormat="1" x14ac:dyDescent="0.3">
      <c r="B23" s="2" t="s">
        <v>34</v>
      </c>
      <c r="C23" s="7">
        <f t="shared" ref="C23:I23" si="4">SUM(C22:C22)</f>
        <v>-9900</v>
      </c>
      <c r="D23" s="7">
        <f t="shared" si="4"/>
        <v>-7267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-10503</v>
      </c>
      <c r="J23" s="50" t="str">
        <f>IFERROR(I23/E23,"N/A")</f>
        <v>N/A</v>
      </c>
      <c r="K23" s="7"/>
      <c r="L23" s="7">
        <f>SUM(L22:L22)</f>
        <v>-10818</v>
      </c>
      <c r="M23" s="7">
        <f>SUM(M22:M22)</f>
        <v>-11143</v>
      </c>
      <c r="N23" s="7">
        <f>SUM(N22:N22)</f>
        <v>-11477</v>
      </c>
    </row>
    <row r="24" spans="2:14" x14ac:dyDescent="0.3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s="1" customFormat="1" x14ac:dyDescent="0.3">
      <c r="B25" s="2" t="s">
        <v>33</v>
      </c>
      <c r="C25" s="7">
        <f t="shared" ref="C25:I25" si="5">C23+C20</f>
        <v>76000</v>
      </c>
      <c r="D25" s="7">
        <f t="shared" si="5"/>
        <v>72243</v>
      </c>
      <c r="E25" s="7">
        <f t="shared" si="5"/>
        <v>88990</v>
      </c>
      <c r="F25" s="7">
        <f t="shared" si="5"/>
        <v>0</v>
      </c>
      <c r="G25" s="7">
        <f t="shared" si="5"/>
        <v>88990</v>
      </c>
      <c r="H25" s="7">
        <f t="shared" si="5"/>
        <v>84393.137890071986</v>
      </c>
      <c r="I25" s="7">
        <f t="shared" si="5"/>
        <v>65383</v>
      </c>
      <c r="J25" s="50">
        <f>IFERROR(I25/E25,"N/A")</f>
        <v>0.73472300258456003</v>
      </c>
      <c r="K25" s="7"/>
      <c r="L25" s="7">
        <f>L23+L20</f>
        <v>67344</v>
      </c>
      <c r="M25" s="7">
        <f>M23+M20</f>
        <v>69365</v>
      </c>
      <c r="N25" s="7">
        <f>N23+N20</f>
        <v>71446</v>
      </c>
    </row>
  </sheetData>
  <pageMargins left="0.7" right="0.7" top="0.75" bottom="0.75" header="0.3" footer="0.3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3:N24"/>
  <sheetViews>
    <sheetView workbookViewId="0">
      <selection activeCell="I16" sqref="I16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9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f>G7+G8</f>
        <v>5047</v>
      </c>
      <c r="I6" s="94">
        <f>ROUND((G7+G8)*RPI,0)</f>
        <v>5198</v>
      </c>
      <c r="J6" s="49" t="str">
        <f>IFERROR(I6/E6,"N/A")</f>
        <v>N/A</v>
      </c>
      <c r="K6" s="6"/>
      <c r="L6" s="6">
        <f>ROUND(I6*RPI,0)</f>
        <v>5354</v>
      </c>
      <c r="M6" s="6">
        <f>ROUND(L6*RPI,0)</f>
        <v>5515</v>
      </c>
      <c r="N6" s="6">
        <f>ROUND(M6*RPI,0)</f>
        <v>5680</v>
      </c>
    </row>
    <row r="7" spans="2:14" x14ac:dyDescent="0.3">
      <c r="B7" s="12" t="s">
        <v>41</v>
      </c>
      <c r="C7" s="13">
        <v>2500</v>
      </c>
      <c r="D7" s="13">
        <v>0</v>
      </c>
      <c r="E7" s="13">
        <v>2575</v>
      </c>
      <c r="F7" s="13"/>
      <c r="G7" s="13">
        <v>2575</v>
      </c>
      <c r="H7" s="13"/>
      <c r="I7" s="13"/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2400</v>
      </c>
      <c r="D8" s="13">
        <v>0</v>
      </c>
      <c r="E8" s="13">
        <v>2472</v>
      </c>
      <c r="F8" s="13"/>
      <c r="G8" s="13">
        <v>2472</v>
      </c>
      <c r="H8" s="13"/>
      <c r="I8" s="13"/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58</v>
      </c>
      <c r="C9" s="13">
        <v>500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109</v>
      </c>
      <c r="L9" s="13">
        <v>0</v>
      </c>
      <c r="M9" s="13">
        <v>0</v>
      </c>
      <c r="N9" s="13">
        <v>0</v>
      </c>
    </row>
    <row r="10" spans="2:14" s="1" customFormat="1" x14ac:dyDescent="0.3">
      <c r="B10" s="2" t="s">
        <v>32</v>
      </c>
      <c r="C10" s="7">
        <f>SUM(C6:C9)</f>
        <v>5400</v>
      </c>
      <c r="D10" s="7">
        <f t="shared" ref="D10:M10" si="0">SUM(D6:D9)</f>
        <v>0</v>
      </c>
      <c r="E10" s="7">
        <f t="shared" si="0"/>
        <v>5047</v>
      </c>
      <c r="F10" s="7">
        <f t="shared" si="0"/>
        <v>0</v>
      </c>
      <c r="G10" s="7">
        <f t="shared" si="0"/>
        <v>5047</v>
      </c>
      <c r="H10" s="7">
        <f t="shared" si="0"/>
        <v>5047</v>
      </c>
      <c r="I10" s="7">
        <f t="shared" si="0"/>
        <v>5198</v>
      </c>
      <c r="J10" s="50">
        <f>IFERROR(I10/E10,"N/A")</f>
        <v>1.0299187636219536</v>
      </c>
      <c r="K10" s="7"/>
      <c r="L10" s="7">
        <f t="shared" si="0"/>
        <v>5354</v>
      </c>
      <c r="M10" s="7">
        <f t="shared" si="0"/>
        <v>5515</v>
      </c>
      <c r="N10" s="7">
        <f>SUM(N6:N9)</f>
        <v>5680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5" t="s">
        <v>80</v>
      </c>
      <c r="C12" s="6">
        <v>91300</v>
      </c>
      <c r="D12" s="6">
        <v>87566</v>
      </c>
      <c r="E12" s="6">
        <v>94496</v>
      </c>
      <c r="F12" s="6"/>
      <c r="G12" s="6">
        <v>94496</v>
      </c>
      <c r="H12" s="6">
        <f>G12*700000/737428</f>
        <v>89699.87578448336</v>
      </c>
      <c r="I12" s="93">
        <v>82500</v>
      </c>
      <c r="J12" s="49">
        <f>IFERROR(I12/E12,"N/A")</f>
        <v>0.8730528276329157</v>
      </c>
      <c r="K12" s="6"/>
      <c r="L12" s="6">
        <f>ROUND(I12*RPI,0)</f>
        <v>84975</v>
      </c>
      <c r="M12" s="6">
        <f>ROUND(L12*RPI,0)</f>
        <v>87524</v>
      </c>
      <c r="N12" s="6">
        <f>ROUND(M12*RPI,0)</f>
        <v>90150</v>
      </c>
    </row>
    <row r="13" spans="2:14" s="1" customFormat="1" x14ac:dyDescent="0.3">
      <c r="B13" s="2" t="s">
        <v>32</v>
      </c>
      <c r="C13" s="7">
        <f t="shared" ref="C13:I13" si="1">SUM(C11:C12)</f>
        <v>91300</v>
      </c>
      <c r="D13" s="7">
        <f t="shared" si="1"/>
        <v>87566</v>
      </c>
      <c r="E13" s="7">
        <f t="shared" si="1"/>
        <v>94496</v>
      </c>
      <c r="F13" s="7">
        <f t="shared" si="1"/>
        <v>0</v>
      </c>
      <c r="G13" s="7">
        <f t="shared" si="1"/>
        <v>94496</v>
      </c>
      <c r="H13" s="7">
        <f t="shared" si="1"/>
        <v>89699.87578448336</v>
      </c>
      <c r="I13" s="7">
        <f t="shared" si="1"/>
        <v>82500</v>
      </c>
      <c r="J13" s="50">
        <f>IFERROR(I13/E13,"N/A")</f>
        <v>0.8730528276329157</v>
      </c>
      <c r="K13" s="7"/>
      <c r="L13" s="7">
        <f>SUM(L11:L12)</f>
        <v>84975</v>
      </c>
      <c r="M13" s="7">
        <f>SUM(M11:M12)</f>
        <v>87524</v>
      </c>
      <c r="N13" s="7">
        <f>SUM(N11:N12)</f>
        <v>90150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5" t="s">
        <v>82</v>
      </c>
      <c r="C15" s="6">
        <v>0</v>
      </c>
      <c r="D15" s="6"/>
      <c r="E15" s="6">
        <v>0</v>
      </c>
      <c r="F15" s="6"/>
      <c r="G15" s="6">
        <v>0</v>
      </c>
      <c r="H15" s="6">
        <v>0</v>
      </c>
      <c r="I15" s="92">
        <f>'CTax Options'!M16-'CTax Options'!N16</f>
        <v>1880</v>
      </c>
      <c r="J15" s="49" t="str">
        <f>IFERROR(I15/E15,"N/A")</f>
        <v>N/A</v>
      </c>
      <c r="K15" s="6"/>
      <c r="L15" s="6">
        <f>-L20</f>
        <v>5026</v>
      </c>
      <c r="M15" s="6">
        <f>-M20</f>
        <v>5177</v>
      </c>
      <c r="N15" s="6">
        <f>-N20</f>
        <v>5332</v>
      </c>
    </row>
    <row r="16" spans="2:14" s="1" customFormat="1" x14ac:dyDescent="0.3">
      <c r="B16" s="2" t="s">
        <v>32</v>
      </c>
      <c r="C16" s="7">
        <f t="shared" ref="C16:I16" si="2">SUM(C14:C15)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1880</v>
      </c>
      <c r="J16" s="50" t="str">
        <f>IFERROR(I16/E16,"N/A")</f>
        <v>N/A</v>
      </c>
      <c r="K16" s="7"/>
      <c r="L16" s="7">
        <f>SUM(L14:L15)</f>
        <v>5026</v>
      </c>
      <c r="M16" s="7">
        <f>SUM(M14:M15)</f>
        <v>5177</v>
      </c>
      <c r="N16" s="7">
        <f>SUM(N14:N15)</f>
        <v>5332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35</v>
      </c>
      <c r="C18" s="7">
        <f t="shared" ref="C18:I18" si="3">0.5*SUM(C5:C17)</f>
        <v>96700</v>
      </c>
      <c r="D18" s="7">
        <f t="shared" si="3"/>
        <v>87566</v>
      </c>
      <c r="E18" s="7">
        <f t="shared" si="3"/>
        <v>99543</v>
      </c>
      <c r="F18" s="7">
        <f t="shared" si="3"/>
        <v>0</v>
      </c>
      <c r="G18" s="7">
        <f t="shared" si="3"/>
        <v>99543</v>
      </c>
      <c r="H18" s="7">
        <f t="shared" si="3"/>
        <v>94746.87578448336</v>
      </c>
      <c r="I18" s="7">
        <f t="shared" si="3"/>
        <v>89578</v>
      </c>
      <c r="J18" s="50">
        <f>IFERROR(I18/E18,"N/A")</f>
        <v>0.89989250876505633</v>
      </c>
      <c r="K18" s="7"/>
      <c r="L18" s="7">
        <f>0.5*SUM(L5:L17)</f>
        <v>95355</v>
      </c>
      <c r="M18" s="7">
        <f>0.5*SUM(M5:M17)</f>
        <v>98216</v>
      </c>
      <c r="N18" s="7">
        <f>0.5*SUM(N5:N17)</f>
        <v>101162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3">
      <c r="B20" s="5" t="s">
        <v>87</v>
      </c>
      <c r="C20" s="6">
        <v>-4600</v>
      </c>
      <c r="D20" s="6">
        <v>-6093</v>
      </c>
      <c r="E20" s="6">
        <v>0</v>
      </c>
      <c r="F20" s="6"/>
      <c r="G20" s="6">
        <v>0</v>
      </c>
      <c r="H20" s="6">
        <v>0</v>
      </c>
      <c r="I20" s="92">
        <f>ROUND(C20*RPI*RPI,0)</f>
        <v>-4880</v>
      </c>
      <c r="J20" s="52" t="str">
        <f>IFERROR(I20/E20,"N/A")</f>
        <v>N/A</v>
      </c>
      <c r="K20" s="6"/>
      <c r="L20" s="6">
        <f>ROUND(I20*RPI,0)</f>
        <v>-5026</v>
      </c>
      <c r="M20" s="6">
        <f>ROUND(L20*RPI,0)</f>
        <v>-5177</v>
      </c>
      <c r="N20" s="6">
        <f>ROUND(M20*RPI,0)</f>
        <v>-5332</v>
      </c>
    </row>
    <row r="21" spans="2:14" x14ac:dyDescent="0.3">
      <c r="B21" s="5" t="s">
        <v>85</v>
      </c>
      <c r="C21" s="6">
        <v>-4800</v>
      </c>
      <c r="D21" s="6">
        <v>-3125</v>
      </c>
      <c r="E21" s="6">
        <v>-6250</v>
      </c>
      <c r="F21" s="6"/>
      <c r="G21" s="6">
        <v>-6250</v>
      </c>
      <c r="H21" s="6">
        <v>-6250</v>
      </c>
      <c r="I21" s="90">
        <v>-6250</v>
      </c>
      <c r="J21" s="49">
        <f>IFERROR(I21/E21,"N/A")</f>
        <v>1</v>
      </c>
      <c r="K21" s="6"/>
      <c r="L21" s="6">
        <v>-6250</v>
      </c>
      <c r="M21" s="6">
        <v>-6250</v>
      </c>
      <c r="N21" s="6">
        <v>-6250</v>
      </c>
    </row>
    <row r="22" spans="2:14" s="1" customFormat="1" x14ac:dyDescent="0.3">
      <c r="B22" s="2" t="s">
        <v>34</v>
      </c>
      <c r="C22" s="7">
        <f t="shared" ref="C22:I22" si="4">SUM(C20:C21)</f>
        <v>-9400</v>
      </c>
      <c r="D22" s="7">
        <f t="shared" si="4"/>
        <v>-9218</v>
      </c>
      <c r="E22" s="7">
        <f t="shared" si="4"/>
        <v>-6250</v>
      </c>
      <c r="F22" s="7">
        <f t="shared" si="4"/>
        <v>0</v>
      </c>
      <c r="G22" s="7">
        <f t="shared" si="4"/>
        <v>-6250</v>
      </c>
      <c r="H22" s="7">
        <f t="shared" si="4"/>
        <v>-6250</v>
      </c>
      <c r="I22" s="7">
        <f t="shared" si="4"/>
        <v>-11130</v>
      </c>
      <c r="J22" s="50">
        <f>IFERROR(I22/E22,"N/A")</f>
        <v>1.7807999999999999</v>
      </c>
      <c r="K22" s="7"/>
      <c r="L22" s="7">
        <f>SUM(L20:L21)</f>
        <v>-11276</v>
      </c>
      <c r="M22" s="7">
        <f>SUM(M20:M21)</f>
        <v>-11427</v>
      </c>
      <c r="N22" s="7">
        <f>SUM(N20:N21)</f>
        <v>-11582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5">C22+C18</f>
        <v>87300</v>
      </c>
      <c r="D24" s="7">
        <f t="shared" si="5"/>
        <v>78348</v>
      </c>
      <c r="E24" s="7">
        <f t="shared" si="5"/>
        <v>93293</v>
      </c>
      <c r="F24" s="7">
        <f t="shared" si="5"/>
        <v>0</v>
      </c>
      <c r="G24" s="7">
        <f t="shared" si="5"/>
        <v>93293</v>
      </c>
      <c r="H24" s="7">
        <f t="shared" si="5"/>
        <v>88496.87578448336</v>
      </c>
      <c r="I24" s="7">
        <f t="shared" si="5"/>
        <v>78448</v>
      </c>
      <c r="J24" s="50">
        <f>IFERROR(I24/E24,"N/A")</f>
        <v>0.84087766499094252</v>
      </c>
      <c r="K24" s="7"/>
      <c r="L24" s="7">
        <f>L22+L18</f>
        <v>84079</v>
      </c>
      <c r="M24" s="7">
        <f>M22+M18</f>
        <v>86789</v>
      </c>
      <c r="N24" s="7">
        <f>N22+N18</f>
        <v>89580</v>
      </c>
    </row>
  </sheetData>
  <pageMargins left="0.7" right="0.7" top="0.75" bottom="0.75" header="0.3" footer="0.3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3:N16"/>
  <sheetViews>
    <sheetView topLeftCell="C1" workbookViewId="0">
      <selection activeCell="K18" sqref="K18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111</v>
      </c>
      <c r="C6" s="6"/>
      <c r="D6" s="6"/>
      <c r="E6" s="6"/>
      <c r="F6" s="6"/>
      <c r="G6" s="6"/>
      <c r="H6" s="6"/>
      <c r="I6" s="93">
        <v>4700</v>
      </c>
      <c r="J6" s="49" t="str">
        <f>IFERROR(I6/E6,"N/A")</f>
        <v>N/A</v>
      </c>
      <c r="K6" s="6" t="s">
        <v>243</v>
      </c>
      <c r="L6" s="6">
        <f>ROUND(I6*RPI,0)</f>
        <v>4841</v>
      </c>
      <c r="M6" s="6">
        <f t="shared" ref="M6:N8" si="0">ROUND(L6*RPI,0)</f>
        <v>4986</v>
      </c>
      <c r="N6" s="6">
        <f t="shared" si="0"/>
        <v>5136</v>
      </c>
    </row>
    <row r="7" spans="2:14" x14ac:dyDescent="0.3">
      <c r="B7" s="5" t="s">
        <v>169</v>
      </c>
      <c r="C7" s="6"/>
      <c r="D7" s="6"/>
      <c r="E7" s="6"/>
      <c r="F7" s="6"/>
      <c r="G7" s="6"/>
      <c r="H7" s="6"/>
      <c r="I7" s="93">
        <v>11300</v>
      </c>
      <c r="J7" s="49" t="str">
        <f>IFERROR(I7/E7,"N/A")</f>
        <v>N/A</v>
      </c>
      <c r="K7" s="6" t="s">
        <v>244</v>
      </c>
      <c r="L7" s="6">
        <f>ROUND(I7*RPI,0)</f>
        <v>11639</v>
      </c>
      <c r="M7" s="6">
        <f t="shared" si="0"/>
        <v>11988</v>
      </c>
      <c r="N7" s="6">
        <f t="shared" si="0"/>
        <v>12348</v>
      </c>
    </row>
    <row r="8" spans="2:14" x14ac:dyDescent="0.3">
      <c r="B8" s="5" t="s">
        <v>42</v>
      </c>
      <c r="C8" s="6"/>
      <c r="D8" s="6"/>
      <c r="E8" s="6"/>
      <c r="F8" s="6"/>
      <c r="G8" s="6"/>
      <c r="H8" s="6"/>
      <c r="I8" s="94">
        <f>ROUND(1854*RPI,0)</f>
        <v>1910</v>
      </c>
      <c r="J8" s="49" t="str">
        <f>IFERROR(I8/E8,"N/A")</f>
        <v>N/A</v>
      </c>
      <c r="K8" s="6" t="s">
        <v>244</v>
      </c>
      <c r="L8" s="6">
        <f>ROUND(I8*RPI,0)</f>
        <v>1967</v>
      </c>
      <c r="M8" s="6">
        <f t="shared" si="0"/>
        <v>2026</v>
      </c>
      <c r="N8" s="6">
        <f t="shared" si="0"/>
        <v>2087</v>
      </c>
    </row>
    <row r="9" spans="2:14" s="1" customFormat="1" x14ac:dyDescent="0.3">
      <c r="B9" s="2" t="s">
        <v>32</v>
      </c>
      <c r="C9" s="7">
        <f t="shared" ref="C9:I9" si="1">SUM(C6:C8)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17910</v>
      </c>
      <c r="J9" s="50" t="str">
        <f>IFERROR(I9/E9,"N/A")</f>
        <v>N/A</v>
      </c>
      <c r="K9" s="7"/>
      <c r="L9" s="7">
        <f>SUM(L6:L8)</f>
        <v>18447</v>
      </c>
      <c r="M9" s="7">
        <f>SUM(M6:M8)</f>
        <v>19000</v>
      </c>
      <c r="N9" s="7">
        <f>SUM(N6:N8)</f>
        <v>19571</v>
      </c>
    </row>
    <row r="10" spans="2:14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s="1" customFormat="1" x14ac:dyDescent="0.3">
      <c r="B11" s="2" t="s">
        <v>35</v>
      </c>
      <c r="C11" s="7">
        <f t="shared" ref="C11:I11" si="2">0.5*SUM(C5:C10)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17910</v>
      </c>
      <c r="J11" s="50" t="str">
        <f>IFERROR(I11/E11,"N/A")</f>
        <v>N/A</v>
      </c>
      <c r="K11" s="7"/>
      <c r="L11" s="7">
        <f>0.5*SUM(L5:L10)</f>
        <v>18447</v>
      </c>
      <c r="M11" s="7">
        <f>0.5*SUM(M5:M10)</f>
        <v>19000</v>
      </c>
      <c r="N11" s="7">
        <f>0.5*SUM(N5:N10)</f>
        <v>19571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170</v>
      </c>
      <c r="C13" s="6"/>
      <c r="D13" s="6"/>
      <c r="E13" s="6"/>
      <c r="F13" s="6"/>
      <c r="G13" s="6"/>
      <c r="H13" s="6"/>
      <c r="I13" s="6">
        <v>-1400</v>
      </c>
      <c r="J13" s="6"/>
      <c r="K13" s="6"/>
      <c r="L13" s="6">
        <v>-1400</v>
      </c>
      <c r="M13" s="6">
        <v>-1400</v>
      </c>
      <c r="N13" s="6">
        <v>-1400</v>
      </c>
    </row>
    <row r="14" spans="2:14" s="1" customFormat="1" x14ac:dyDescent="0.3">
      <c r="B14" s="2" t="s">
        <v>34</v>
      </c>
      <c r="C14" s="7">
        <f t="shared" ref="C14:I14" si="3">SUM(C13:C13)</f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  <c r="H14" s="7">
        <f t="shared" si="3"/>
        <v>0</v>
      </c>
      <c r="I14" s="7">
        <f t="shared" si="3"/>
        <v>-1400</v>
      </c>
      <c r="J14" s="7"/>
      <c r="K14" s="7"/>
      <c r="L14" s="7">
        <f>SUM(L13:L13)</f>
        <v>-1400</v>
      </c>
      <c r="M14" s="7">
        <f>SUM(M13:M13)</f>
        <v>-1400</v>
      </c>
      <c r="N14" s="7">
        <f>SUM(N13:N13)</f>
        <v>-1400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s="1" customFormat="1" x14ac:dyDescent="0.3">
      <c r="B16" s="2" t="s">
        <v>33</v>
      </c>
      <c r="C16" s="7">
        <f t="shared" ref="C16:I16" si="4">C14+C11</f>
        <v>0</v>
      </c>
      <c r="D16" s="7">
        <f t="shared" si="4"/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16510</v>
      </c>
      <c r="J16" s="50" t="str">
        <f>IFERROR(I16/E16,"N/A")</f>
        <v>N/A</v>
      </c>
      <c r="K16" s="7"/>
      <c r="L16" s="7">
        <f>L14+L11</f>
        <v>17047</v>
      </c>
      <c r="M16" s="7">
        <f>M14+M11</f>
        <v>17600</v>
      </c>
      <c r="N16" s="7">
        <f>N14+N11</f>
        <v>18171</v>
      </c>
    </row>
  </sheetData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N17"/>
  <sheetViews>
    <sheetView workbookViewId="0">
      <selection activeCell="C15" sqref="C15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11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12" t="s">
        <v>43</v>
      </c>
      <c r="C6" s="13">
        <v>1800</v>
      </c>
      <c r="D6" s="13">
        <v>0</v>
      </c>
      <c r="E6" s="13">
        <v>1854</v>
      </c>
      <c r="F6" s="13"/>
      <c r="G6" s="13">
        <v>1854</v>
      </c>
      <c r="H6" s="13">
        <v>1854</v>
      </c>
      <c r="I6" s="13">
        <v>0</v>
      </c>
      <c r="J6" s="13"/>
      <c r="K6" s="13" t="s">
        <v>182</v>
      </c>
      <c r="L6" s="13">
        <v>0</v>
      </c>
      <c r="M6" s="13">
        <v>0</v>
      </c>
      <c r="N6" s="13">
        <v>0</v>
      </c>
    </row>
    <row r="7" spans="2:14" x14ac:dyDescent="0.3">
      <c r="B7" s="12" t="s">
        <v>79</v>
      </c>
      <c r="C7" s="13">
        <v>1100</v>
      </c>
      <c r="D7" s="13">
        <v>1103</v>
      </c>
      <c r="E7" s="13">
        <v>0</v>
      </c>
      <c r="F7" s="13"/>
      <c r="G7" s="13">
        <v>0</v>
      </c>
      <c r="H7" s="13"/>
      <c r="I7" s="13">
        <v>0</v>
      </c>
      <c r="J7" s="13"/>
      <c r="K7" s="13"/>
      <c r="L7" s="13">
        <v>0</v>
      </c>
      <c r="M7" s="13">
        <v>0</v>
      </c>
      <c r="N7" s="13">
        <v>0</v>
      </c>
    </row>
    <row r="8" spans="2:14" s="1" customFormat="1" x14ac:dyDescent="0.3">
      <c r="B8" s="2" t="s">
        <v>32</v>
      </c>
      <c r="C8" s="7">
        <f t="shared" ref="C8:I8" si="0">SUM(C6:C7)</f>
        <v>2900</v>
      </c>
      <c r="D8" s="7">
        <f t="shared" si="0"/>
        <v>1103</v>
      </c>
      <c r="E8" s="7">
        <f t="shared" si="0"/>
        <v>1854</v>
      </c>
      <c r="F8" s="7">
        <f t="shared" si="0"/>
        <v>0</v>
      </c>
      <c r="G8" s="7">
        <f t="shared" si="0"/>
        <v>1854</v>
      </c>
      <c r="H8" s="7">
        <f t="shared" si="0"/>
        <v>1854</v>
      </c>
      <c r="I8" s="7">
        <f t="shared" si="0"/>
        <v>0</v>
      </c>
      <c r="J8" s="7"/>
      <c r="K8" s="7"/>
      <c r="L8" s="7">
        <f>SUM(L6:L7)</f>
        <v>0</v>
      </c>
      <c r="M8" s="7">
        <f>SUM(M6:M7)</f>
        <v>0</v>
      </c>
      <c r="N8" s="7">
        <f>SUM(N6:N7)</f>
        <v>0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34" t="s">
        <v>110</v>
      </c>
      <c r="C10" s="35">
        <v>6600</v>
      </c>
      <c r="D10" s="35">
        <v>6330</v>
      </c>
      <c r="E10" s="35">
        <v>6831</v>
      </c>
      <c r="F10" s="35"/>
      <c r="G10" s="35">
        <v>6831</v>
      </c>
      <c r="H10" s="35">
        <f>G10*700000/737428</f>
        <v>6484.2940598946607</v>
      </c>
      <c r="I10" s="35">
        <v>0</v>
      </c>
      <c r="J10" s="35"/>
      <c r="K10" s="35"/>
      <c r="L10" s="35">
        <f>ROUND(I10*RPI,0)</f>
        <v>0</v>
      </c>
      <c r="M10" s="35">
        <f>ROUND(L10*RPI,0)</f>
        <v>0</v>
      </c>
      <c r="N10" s="35">
        <f>ROUND(M10*RPI,0)</f>
        <v>0</v>
      </c>
    </row>
    <row r="11" spans="2:14" s="1" customFormat="1" x14ac:dyDescent="0.3">
      <c r="B11" s="2" t="s">
        <v>32</v>
      </c>
      <c r="C11" s="7">
        <f t="shared" ref="C11:I11" si="1">SUM(C9:C10)</f>
        <v>6600</v>
      </c>
      <c r="D11" s="7">
        <f t="shared" si="1"/>
        <v>6330</v>
      </c>
      <c r="E11" s="7">
        <f t="shared" si="1"/>
        <v>6831</v>
      </c>
      <c r="F11" s="7">
        <f t="shared" si="1"/>
        <v>0</v>
      </c>
      <c r="G11" s="7">
        <f t="shared" si="1"/>
        <v>6831</v>
      </c>
      <c r="H11" s="7">
        <f t="shared" si="1"/>
        <v>6484.2940598946607</v>
      </c>
      <c r="I11" s="7">
        <f t="shared" si="1"/>
        <v>0</v>
      </c>
      <c r="J11" s="7"/>
      <c r="K11" s="7"/>
      <c r="L11" s="7">
        <f>SUM(L9:L10)</f>
        <v>0</v>
      </c>
      <c r="M11" s="7">
        <f>SUM(M9:M10)</f>
        <v>0</v>
      </c>
      <c r="N11" s="7">
        <f>SUM(N9:N10)</f>
        <v>0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x14ac:dyDescent="0.3">
      <c r="B13" s="2" t="s">
        <v>35</v>
      </c>
      <c r="C13" s="7">
        <f t="shared" ref="C13:I13" si="2">0.5*SUM(C5:C12)</f>
        <v>9500</v>
      </c>
      <c r="D13" s="7">
        <f t="shared" si="2"/>
        <v>7433</v>
      </c>
      <c r="E13" s="7">
        <f t="shared" si="2"/>
        <v>8685</v>
      </c>
      <c r="F13" s="7">
        <f t="shared" si="2"/>
        <v>0</v>
      </c>
      <c r="G13" s="7">
        <f t="shared" si="2"/>
        <v>8685</v>
      </c>
      <c r="H13" s="7">
        <f t="shared" si="2"/>
        <v>8338.2940598946607</v>
      </c>
      <c r="I13" s="7">
        <f t="shared" si="2"/>
        <v>0</v>
      </c>
      <c r="J13" s="7"/>
      <c r="K13" s="7"/>
      <c r="L13" s="7">
        <f>0.5*SUM(L5:L12)</f>
        <v>0</v>
      </c>
      <c r="M13" s="7">
        <f>0.5*SUM(M5:M12)</f>
        <v>0</v>
      </c>
      <c r="N13" s="7">
        <f>0.5*SUM(N5:N12)</f>
        <v>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>
        <v>0</v>
      </c>
      <c r="M15" s="7">
        <v>0</v>
      </c>
      <c r="N15" s="7">
        <v>0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33</v>
      </c>
      <c r="C17" s="7">
        <f t="shared" ref="C17:I17" si="3">C15+C13</f>
        <v>9500</v>
      </c>
      <c r="D17" s="7">
        <f t="shared" si="3"/>
        <v>7433</v>
      </c>
      <c r="E17" s="7">
        <f t="shared" si="3"/>
        <v>8685</v>
      </c>
      <c r="F17" s="7">
        <f t="shared" si="3"/>
        <v>0</v>
      </c>
      <c r="G17" s="7">
        <f t="shared" si="3"/>
        <v>8685</v>
      </c>
      <c r="H17" s="7">
        <f t="shared" si="3"/>
        <v>8338.2940598946607</v>
      </c>
      <c r="I17" s="7">
        <f t="shared" si="3"/>
        <v>0</v>
      </c>
      <c r="J17" s="7"/>
      <c r="K17" s="7"/>
      <c r="L17" s="7">
        <f>L15+L13</f>
        <v>0</v>
      </c>
      <c r="M17" s="7">
        <f>M15+M13</f>
        <v>0</v>
      </c>
      <c r="N17" s="7">
        <f>N15+N13</f>
        <v>0</v>
      </c>
    </row>
  </sheetData>
  <pageMargins left="0.7" right="0.7" top="0.75" bottom="0.75" header="0.3" footer="0.3"/>
  <pageSetup paperSize="9" scale="6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3:N19"/>
  <sheetViews>
    <sheetView topLeftCell="D1" workbookViewId="0">
      <selection activeCell="I13" sqref="I13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6">
        <v>0</v>
      </c>
      <c r="H6" s="6">
        <f>G7+G8</f>
        <v>1030</v>
      </c>
      <c r="I6" s="94">
        <f>ROUND((G7+G8)*RPI,0)</f>
        <v>1061</v>
      </c>
      <c r="J6" s="49" t="str">
        <f>IFERROR(I6/E6,"N/A")</f>
        <v>N/A</v>
      </c>
      <c r="K6" s="6"/>
      <c r="L6" s="6">
        <f>ROUND(I6*RPI,0)</f>
        <v>1093</v>
      </c>
      <c r="M6" s="6">
        <f>ROUND(L6*RPI,0)</f>
        <v>1126</v>
      </c>
      <c r="N6" s="6">
        <f>ROUND(M6*RPI,0)</f>
        <v>1160</v>
      </c>
    </row>
    <row r="7" spans="2:14" x14ac:dyDescent="0.3">
      <c r="B7" s="12" t="s">
        <v>41</v>
      </c>
      <c r="C7" s="13">
        <v>300</v>
      </c>
      <c r="D7" s="13">
        <v>0</v>
      </c>
      <c r="E7" s="13">
        <v>412</v>
      </c>
      <c r="F7" s="13"/>
      <c r="G7" s="13">
        <v>412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600</v>
      </c>
      <c r="D8" s="13">
        <v>0</v>
      </c>
      <c r="E8" s="13">
        <v>618</v>
      </c>
      <c r="F8" s="13"/>
      <c r="G8" s="13">
        <v>618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79</v>
      </c>
      <c r="C9" s="13">
        <v>1100</v>
      </c>
      <c r="D9" s="13">
        <v>0</v>
      </c>
      <c r="E9" s="13">
        <v>0</v>
      </c>
      <c r="F9" s="13"/>
      <c r="G9" s="13">
        <v>0</v>
      </c>
      <c r="H9" s="13">
        <f>1095+1130</f>
        <v>2225</v>
      </c>
      <c r="I9" s="13">
        <v>0</v>
      </c>
      <c r="J9" s="13"/>
      <c r="K9" s="13"/>
      <c r="L9" s="13">
        <v>0</v>
      </c>
      <c r="M9" s="13">
        <v>0</v>
      </c>
      <c r="N9" s="13">
        <v>0</v>
      </c>
    </row>
    <row r="10" spans="2:14" s="1" customFormat="1" x14ac:dyDescent="0.3">
      <c r="B10" s="2" t="s">
        <v>32</v>
      </c>
      <c r="C10" s="7">
        <f>SUM(C6:C9)</f>
        <v>2000</v>
      </c>
      <c r="D10" s="7">
        <f t="shared" ref="D10:M10" si="0">SUM(D6:D9)</f>
        <v>0</v>
      </c>
      <c r="E10" s="7">
        <f t="shared" si="0"/>
        <v>1030</v>
      </c>
      <c r="F10" s="7">
        <f t="shared" si="0"/>
        <v>0</v>
      </c>
      <c r="G10" s="7">
        <f t="shared" si="0"/>
        <v>1030</v>
      </c>
      <c r="H10" s="7">
        <f t="shared" si="0"/>
        <v>3255</v>
      </c>
      <c r="I10" s="7">
        <f t="shared" si="0"/>
        <v>1061</v>
      </c>
      <c r="J10" s="50">
        <f>IFERROR(I10/E10,"N/A")</f>
        <v>1.0300970873786408</v>
      </c>
      <c r="K10" s="7"/>
      <c r="L10" s="7">
        <f t="shared" si="0"/>
        <v>1093</v>
      </c>
      <c r="M10" s="7">
        <f t="shared" si="0"/>
        <v>1126</v>
      </c>
      <c r="N10" s="7">
        <f>SUM(N6:N9)</f>
        <v>1160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5" t="s">
        <v>111</v>
      </c>
      <c r="C12" s="6">
        <v>5800</v>
      </c>
      <c r="D12" s="6">
        <v>5563</v>
      </c>
      <c r="E12" s="6">
        <v>6003</v>
      </c>
      <c r="F12" s="6"/>
      <c r="G12" s="6">
        <v>6003</v>
      </c>
      <c r="H12" s="6">
        <f>G12*700000/737428</f>
        <v>5698.3190223316715</v>
      </c>
      <c r="I12" s="93">
        <v>10300</v>
      </c>
      <c r="J12" s="49">
        <f>IFERROR(I12/E12,"N/A")</f>
        <v>1.7158087622855238</v>
      </c>
      <c r="K12" s="6"/>
      <c r="L12" s="6">
        <f>ROUND(I12*RPI,0)</f>
        <v>10609</v>
      </c>
      <c r="M12" s="6">
        <f>ROUND(L12*RPI,0)</f>
        <v>10927</v>
      </c>
      <c r="N12" s="6">
        <f>ROUND(M12*RPI,0)</f>
        <v>11255</v>
      </c>
    </row>
    <row r="13" spans="2:14" s="1" customFormat="1" x14ac:dyDescent="0.3">
      <c r="B13" s="2" t="s">
        <v>32</v>
      </c>
      <c r="C13" s="7">
        <f t="shared" ref="C13:I13" si="1">SUM(C11:C12)</f>
        <v>5800</v>
      </c>
      <c r="D13" s="7">
        <f t="shared" si="1"/>
        <v>5563</v>
      </c>
      <c r="E13" s="7">
        <f t="shared" si="1"/>
        <v>6003</v>
      </c>
      <c r="F13" s="7">
        <f t="shared" si="1"/>
        <v>0</v>
      </c>
      <c r="G13" s="7">
        <f t="shared" si="1"/>
        <v>6003</v>
      </c>
      <c r="H13" s="7">
        <f t="shared" si="1"/>
        <v>5698.3190223316715</v>
      </c>
      <c r="I13" s="7">
        <f t="shared" si="1"/>
        <v>10300</v>
      </c>
      <c r="J13" s="50">
        <f>IFERROR(I13/E13,"N/A")</f>
        <v>1.7158087622855238</v>
      </c>
      <c r="K13" s="7"/>
      <c r="L13" s="7">
        <f>SUM(L11:L12)</f>
        <v>10609</v>
      </c>
      <c r="M13" s="7">
        <f>SUM(M11:M12)</f>
        <v>10927</v>
      </c>
      <c r="N13" s="7">
        <f>SUM(N11:N12)</f>
        <v>11255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35</v>
      </c>
      <c r="C15" s="7">
        <f t="shared" ref="C15:I15" si="2">0.5*SUM(C5:C14)</f>
        <v>7800</v>
      </c>
      <c r="D15" s="7">
        <f t="shared" si="2"/>
        <v>5563</v>
      </c>
      <c r="E15" s="7">
        <f t="shared" si="2"/>
        <v>7033</v>
      </c>
      <c r="F15" s="7">
        <f t="shared" si="2"/>
        <v>0</v>
      </c>
      <c r="G15" s="7">
        <f t="shared" si="2"/>
        <v>7033</v>
      </c>
      <c r="H15" s="7">
        <f t="shared" si="2"/>
        <v>8953.3190223316706</v>
      </c>
      <c r="I15" s="7">
        <f t="shared" si="2"/>
        <v>11361</v>
      </c>
      <c r="J15" s="50">
        <f>IFERROR(I15/E15,"N/A")</f>
        <v>1.6153846153846154</v>
      </c>
      <c r="K15" s="7"/>
      <c r="L15" s="7">
        <f>0.5*SUM(L5:L14)</f>
        <v>11702</v>
      </c>
      <c r="M15" s="7">
        <f>0.5*SUM(M5:M14)</f>
        <v>12053</v>
      </c>
      <c r="N15" s="7">
        <f>0.5*SUM(N5:N14)</f>
        <v>12415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  <c r="L17" s="7">
        <v>0</v>
      </c>
      <c r="M17" s="7">
        <v>0</v>
      </c>
      <c r="N17" s="7">
        <v>0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3">C17+C15</f>
        <v>7800</v>
      </c>
      <c r="D19" s="7">
        <f t="shared" si="3"/>
        <v>5563</v>
      </c>
      <c r="E19" s="7">
        <f t="shared" si="3"/>
        <v>7033</v>
      </c>
      <c r="F19" s="7">
        <f t="shared" si="3"/>
        <v>0</v>
      </c>
      <c r="G19" s="7">
        <f t="shared" si="3"/>
        <v>7033</v>
      </c>
      <c r="H19" s="7">
        <f t="shared" si="3"/>
        <v>8953.3190223316706</v>
      </c>
      <c r="I19" s="7">
        <f t="shared" si="3"/>
        <v>11361</v>
      </c>
      <c r="J19" s="50">
        <f>IFERROR(I19/E19,"N/A")</f>
        <v>1.6153846153846154</v>
      </c>
      <c r="K19" s="7"/>
      <c r="L19" s="7">
        <f>L17+L15</f>
        <v>11702</v>
      </c>
      <c r="M19" s="7">
        <f>M17+M15</f>
        <v>12053</v>
      </c>
      <c r="N19" s="7">
        <f>N17+N15</f>
        <v>12415</v>
      </c>
    </row>
  </sheetData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XFD36"/>
  <sheetViews>
    <sheetView topLeftCell="F1" zoomScale="98" zoomScaleNormal="110" workbookViewId="0">
      <selection activeCell="J26" sqref="J26"/>
    </sheetView>
  </sheetViews>
  <sheetFormatPr defaultRowHeight="14.4" x14ac:dyDescent="0.3"/>
  <cols>
    <col min="1" max="1" width="8.88671875" style="62"/>
    <col min="2" max="2" width="42.21875" style="62" bestFit="1" customWidth="1"/>
    <col min="3" max="3" width="17.6640625" style="62" bestFit="1" customWidth="1"/>
    <col min="4" max="4" width="15.77734375" style="62" customWidth="1"/>
    <col min="5" max="5" width="9.21875" style="62" bestFit="1" customWidth="1"/>
    <col min="6" max="6" width="9.77734375" style="62" customWidth="1"/>
    <col min="7" max="7" width="14.21875" style="62" bestFit="1" customWidth="1"/>
    <col min="8" max="8" width="9.33203125" style="62" bestFit="1" customWidth="1"/>
    <col min="9" max="9" width="9.109375" style="62" bestFit="1" customWidth="1"/>
    <col min="10" max="10" width="8.88671875" style="62" customWidth="1"/>
    <col min="11" max="13" width="9.109375" style="62" bestFit="1" customWidth="1"/>
    <col min="14" max="14" width="8.88671875" style="62"/>
    <col min="15" max="15" width="8.88671875" style="62" customWidth="1"/>
    <col min="16" max="16384" width="8.88671875" style="62"/>
  </cols>
  <sheetData>
    <row r="2" spans="2:15" s="58" customFormat="1" ht="43.2" x14ac:dyDescent="0.3">
      <c r="B2" s="56" t="s">
        <v>33</v>
      </c>
      <c r="C2" s="57" t="s">
        <v>23</v>
      </c>
      <c r="D2" s="57" t="s">
        <v>22</v>
      </c>
      <c r="E2" s="57" t="s">
        <v>24</v>
      </c>
      <c r="F2" s="57" t="s">
        <v>25</v>
      </c>
      <c r="G2" s="57" t="s">
        <v>26</v>
      </c>
      <c r="H2" s="57" t="s">
        <v>232</v>
      </c>
      <c r="I2" s="57" t="s">
        <v>27</v>
      </c>
      <c r="J2" s="57" t="s">
        <v>28</v>
      </c>
      <c r="K2" s="57" t="s">
        <v>29</v>
      </c>
      <c r="L2" s="57" t="s">
        <v>30</v>
      </c>
      <c r="M2" s="57" t="s">
        <v>31</v>
      </c>
      <c r="O2" s="59" t="s">
        <v>161</v>
      </c>
    </row>
    <row r="3" spans="2:15" s="58" customFormat="1" x14ac:dyDescent="0.3">
      <c r="B3" s="56"/>
      <c r="C3" s="60" t="s">
        <v>36</v>
      </c>
      <c r="D3" s="60" t="s">
        <v>36</v>
      </c>
      <c r="E3" s="60" t="s">
        <v>36</v>
      </c>
      <c r="F3" s="60" t="s">
        <v>36</v>
      </c>
      <c r="G3" s="60" t="s">
        <v>36</v>
      </c>
      <c r="H3" s="60" t="s">
        <v>36</v>
      </c>
      <c r="I3" s="60" t="s">
        <v>36</v>
      </c>
      <c r="J3" s="60"/>
      <c r="K3" s="60" t="s">
        <v>36</v>
      </c>
      <c r="L3" s="60" t="s">
        <v>36</v>
      </c>
      <c r="M3" s="60" t="s">
        <v>36</v>
      </c>
      <c r="O3" s="58" t="s">
        <v>36</v>
      </c>
    </row>
    <row r="4" spans="2:15" x14ac:dyDescent="0.3">
      <c r="B4" s="56" t="s">
        <v>0</v>
      </c>
      <c r="C4" s="61">
        <f>'Arts, Heritage and Museums'!C19</f>
        <v>1500</v>
      </c>
      <c r="D4" s="61">
        <f>'Arts, Heritage and Museums'!D19</f>
        <v>0</v>
      </c>
      <c r="E4" s="61">
        <f>'Arts, Heritage and Museums'!E19</f>
        <v>29997</v>
      </c>
      <c r="F4" s="61">
        <f>'Arts, Heritage and Museums'!F19</f>
        <v>0</v>
      </c>
      <c r="G4" s="61">
        <f>'Arts, Heritage and Museums'!G19</f>
        <v>29997</v>
      </c>
      <c r="H4" s="61">
        <f>'Arts, Heritage and Museums'!H19</f>
        <v>2997</v>
      </c>
      <c r="I4" s="61">
        <f>'Arts, Heritage and Museums'!I19</f>
        <v>12057</v>
      </c>
      <c r="J4" s="61"/>
      <c r="K4" s="61">
        <f>'Arts, Heritage and Museums'!L19</f>
        <v>12118</v>
      </c>
      <c r="L4" s="61">
        <f>'Arts, Heritage and Museums'!M19</f>
        <v>12182</v>
      </c>
      <c r="M4" s="61">
        <f>'Arts, Heritage and Museums'!N19</f>
        <v>12247</v>
      </c>
      <c r="O4" s="63">
        <f>I4/E4</f>
        <v>0.40194019401940195</v>
      </c>
    </row>
    <row r="5" spans="2:15" x14ac:dyDescent="0.3">
      <c r="B5" s="56" t="s">
        <v>100</v>
      </c>
      <c r="C5" s="61">
        <f>'Caravan and Camping'!C15</f>
        <v>-78700</v>
      </c>
      <c r="D5" s="61">
        <f>'Caravan and Camping'!D15</f>
        <v>-94033</v>
      </c>
      <c r="E5" s="61">
        <f>'Caravan and Camping'!E15</f>
        <v>-78700</v>
      </c>
      <c r="F5" s="61">
        <f>'Caravan and Camping'!F15</f>
        <v>0</v>
      </c>
      <c r="G5" s="61">
        <f>'Caravan and Camping'!G15</f>
        <v>-78700</v>
      </c>
      <c r="H5" s="61">
        <f>'Caravan and Camping'!H15</f>
        <v>-92700</v>
      </c>
      <c r="I5" s="61">
        <f>'Caravan and Camping'!I15</f>
        <v>-92661</v>
      </c>
      <c r="J5" s="61"/>
      <c r="K5" s="61">
        <f>'Caravan and Camping'!L15</f>
        <v>-95441</v>
      </c>
      <c r="L5" s="61">
        <f>'Caravan and Camping'!M15</f>
        <v>-98305</v>
      </c>
      <c r="M5" s="61">
        <f>'Caravan and Camping'!N15</f>
        <v>-101254</v>
      </c>
      <c r="O5" s="63">
        <f t="shared" ref="O5:O32" si="0">I5/E5</f>
        <v>1.1773951715374842</v>
      </c>
    </row>
    <row r="6" spans="2:15" x14ac:dyDescent="0.3">
      <c r="B6" s="56" t="s">
        <v>1</v>
      </c>
      <c r="C6" s="61">
        <f>CCTV!C24</f>
        <v>292400</v>
      </c>
      <c r="D6" s="61">
        <f>CCTV!D24</f>
        <v>278140</v>
      </c>
      <c r="E6" s="61">
        <f>CCTV!E24</f>
        <v>264172</v>
      </c>
      <c r="F6" s="61">
        <f>CCTV!F24</f>
        <v>25000</v>
      </c>
      <c r="G6" s="61">
        <f>CCTV!G24</f>
        <v>289172</v>
      </c>
      <c r="H6" s="61">
        <f>CCTV!H24</f>
        <v>250834.30216916092</v>
      </c>
      <c r="I6" s="61">
        <f>CCTV!I24</f>
        <v>300027</v>
      </c>
      <c r="J6" s="61"/>
      <c r="K6" s="61">
        <f>CCTV!L24</f>
        <v>334157</v>
      </c>
      <c r="L6" s="61">
        <f>CCTV!M24</f>
        <v>343561</v>
      </c>
      <c r="M6" s="61">
        <f>CCTV!N24</f>
        <v>353246</v>
      </c>
      <c r="O6" s="63">
        <f t="shared" si="0"/>
        <v>1.1357259664158199</v>
      </c>
    </row>
    <row r="7" spans="2:15" x14ac:dyDescent="0.3">
      <c r="B7" s="56" t="s">
        <v>2</v>
      </c>
      <c r="C7" s="61">
        <f>'Events, Grants and Civic'!C26</f>
        <v>7600</v>
      </c>
      <c r="D7" s="61">
        <f>'Events, Grants and Civic'!D26</f>
        <v>11186</v>
      </c>
      <c r="E7" s="61">
        <f>'Events, Grants and Civic'!E26</f>
        <v>57633</v>
      </c>
      <c r="F7" s="61">
        <f>'Events, Grants and Civic'!F26</f>
        <v>0</v>
      </c>
      <c r="G7" s="61">
        <f>'Events, Grants and Civic'!G26</f>
        <v>57633</v>
      </c>
      <c r="H7" s="61">
        <f>'Events, Grants and Civic'!H26</f>
        <v>22438</v>
      </c>
      <c r="I7" s="61">
        <f>'Events, Grants and Civic'!I26</f>
        <v>59967</v>
      </c>
      <c r="J7" s="61"/>
      <c r="K7" s="61">
        <f>'Events, Grants and Civic'!L26</f>
        <v>70236</v>
      </c>
      <c r="L7" s="61">
        <f>'Events, Grants and Civic'!M26</f>
        <v>70513</v>
      </c>
      <c r="M7" s="61">
        <f>'Events, Grants and Civic'!N26</f>
        <v>70798</v>
      </c>
      <c r="O7" s="63">
        <f t="shared" si="0"/>
        <v>1.040497631565249</v>
      </c>
    </row>
    <row r="8" spans="2:15" x14ac:dyDescent="0.3">
      <c r="B8" s="56" t="s">
        <v>3</v>
      </c>
      <c r="C8" s="61">
        <f>'Marina Theatre'!C24</f>
        <v>159100</v>
      </c>
      <c r="D8" s="61">
        <f>'Marina Theatre'!D24</f>
        <v>0</v>
      </c>
      <c r="E8" s="61">
        <f>'Marina Theatre'!E24</f>
        <v>160000</v>
      </c>
      <c r="F8" s="61">
        <f>'Marina Theatre'!F24</f>
        <v>0</v>
      </c>
      <c r="G8" s="61">
        <f>'Marina Theatre'!G24</f>
        <v>160000</v>
      </c>
      <c r="H8" s="61">
        <f>'Marina Theatre'!H24</f>
        <v>165000</v>
      </c>
      <c r="I8" s="61">
        <f>'Marina Theatre'!I24</f>
        <v>160000</v>
      </c>
      <c r="J8" s="61"/>
      <c r="K8" s="61">
        <f>'Marina Theatre'!L24</f>
        <v>163100</v>
      </c>
      <c r="L8" s="61">
        <f>'Marina Theatre'!M24</f>
        <v>164109</v>
      </c>
      <c r="M8" s="61">
        <f>'Marina Theatre'!N24</f>
        <v>164427</v>
      </c>
      <c r="O8" s="63">
        <f t="shared" si="0"/>
        <v>1</v>
      </c>
    </row>
    <row r="9" spans="2:15" x14ac:dyDescent="0.3">
      <c r="B9" s="64" t="s">
        <v>155</v>
      </c>
      <c r="C9" s="61">
        <f>'Allotments, Open Spaces &amp; EofE'!C28</f>
        <v>7200</v>
      </c>
      <c r="D9" s="61">
        <f>'Allotments, Open Spaces &amp; EofE'!D28</f>
        <v>6943</v>
      </c>
      <c r="E9" s="61">
        <f>'Allotments, Open Spaces &amp; EofE'!E28</f>
        <v>81895</v>
      </c>
      <c r="F9" s="61">
        <f>'Allotments, Open Spaces &amp; EofE'!F28</f>
        <v>-65000</v>
      </c>
      <c r="G9" s="61">
        <f>'Allotments, Open Spaces &amp; EofE'!G28</f>
        <v>16895</v>
      </c>
      <c r="H9" s="61">
        <f>'Allotments, Open Spaces &amp; EofE'!H28</f>
        <v>6606.0787982013153</v>
      </c>
      <c r="I9" s="61">
        <f>'Allotments, Open Spaces &amp; EofE'!I28</f>
        <v>41167</v>
      </c>
      <c r="J9" s="61"/>
      <c r="K9" s="61">
        <f>'Allotments, Open Spaces &amp; EofE'!L28</f>
        <v>94971</v>
      </c>
      <c r="L9" s="61">
        <f>'Allotments, Open Spaces &amp; EofE'!M28</f>
        <v>97808</v>
      </c>
      <c r="M9" s="61">
        <f>'Allotments, Open Spaces &amp; EofE'!N28</f>
        <v>100729</v>
      </c>
      <c r="O9" s="63">
        <f t="shared" si="0"/>
        <v>0.50268026131021426</v>
      </c>
    </row>
    <row r="10" spans="2:15" x14ac:dyDescent="0.3">
      <c r="B10" s="64" t="s">
        <v>4</v>
      </c>
      <c r="C10" s="61">
        <f>'Sparrows Nest'!C27</f>
        <v>63000</v>
      </c>
      <c r="D10" s="61">
        <f>'Sparrows Nest'!D27</f>
        <v>52524</v>
      </c>
      <c r="E10" s="61">
        <f>'Sparrows Nest'!E27</f>
        <v>71248</v>
      </c>
      <c r="F10" s="61">
        <f>'Sparrows Nest'!F27</f>
        <v>0</v>
      </c>
      <c r="G10" s="61">
        <f>'Sparrows Nest'!G27</f>
        <v>71248</v>
      </c>
      <c r="H10" s="61">
        <f>'Sparrows Nest'!H27</f>
        <v>67367.897665941622</v>
      </c>
      <c r="I10" s="61">
        <f>'Sparrows Nest'!I27</f>
        <v>54696</v>
      </c>
      <c r="J10" s="61"/>
      <c r="K10" s="61">
        <f>'Sparrows Nest'!L27</f>
        <v>57072</v>
      </c>
      <c r="L10" s="61">
        <f>'Sparrows Nest'!M27</f>
        <v>59519</v>
      </c>
      <c r="M10" s="61">
        <f>'Sparrows Nest'!N27</f>
        <v>62039</v>
      </c>
      <c r="O10" s="63">
        <f t="shared" si="0"/>
        <v>0.76768470693914215</v>
      </c>
    </row>
    <row r="11" spans="2:15" x14ac:dyDescent="0.3">
      <c r="B11" s="64" t="s">
        <v>5</v>
      </c>
      <c r="C11" s="61">
        <f>'Belle Vue Park'!C19</f>
        <v>14600</v>
      </c>
      <c r="D11" s="61">
        <f>'Belle Vue Park'!D19</f>
        <v>12613</v>
      </c>
      <c r="E11" s="61">
        <f>'Belle Vue Park'!E19</f>
        <v>13193</v>
      </c>
      <c r="F11" s="61">
        <f>'Belle Vue Park'!F19</f>
        <v>0</v>
      </c>
      <c r="G11" s="61">
        <f>'Belle Vue Park'!G19</f>
        <v>13193</v>
      </c>
      <c r="H11" s="61">
        <f>'Belle Vue Park'!H19</f>
        <v>13051.500751259784</v>
      </c>
      <c r="I11" s="61">
        <f>'Belle Vue Park'!I19</f>
        <v>11335</v>
      </c>
      <c r="J11" s="61"/>
      <c r="K11" s="61">
        <f>'Belle Vue Park'!L19</f>
        <v>11758</v>
      </c>
      <c r="L11" s="61">
        <f>'Belle Vue Park'!M19</f>
        <v>12194</v>
      </c>
      <c r="M11" s="61">
        <f>'Belle Vue Park'!N19</f>
        <v>12643</v>
      </c>
      <c r="O11" s="63">
        <f t="shared" si="0"/>
        <v>0.85916774046843025</v>
      </c>
    </row>
    <row r="12" spans="2:15" x14ac:dyDescent="0.3">
      <c r="B12" s="64" t="s">
        <v>6</v>
      </c>
      <c r="C12" s="61">
        <f>'Kensington Gardens'!C26</f>
        <v>83300</v>
      </c>
      <c r="D12" s="61">
        <f>'Kensington Gardens'!D26</f>
        <v>98977</v>
      </c>
      <c r="E12" s="61">
        <f>'Kensington Gardens'!E26</f>
        <v>95051</v>
      </c>
      <c r="F12" s="61">
        <f>'Kensington Gardens'!F26</f>
        <v>0</v>
      </c>
      <c r="G12" s="61">
        <f>'Kensington Gardens'!G26</f>
        <v>95051</v>
      </c>
      <c r="H12" s="61">
        <f>'Kensington Gardens'!H26</f>
        <v>90417.001426579955</v>
      </c>
      <c r="I12" s="61">
        <f>'Kensington Gardens'!I26</f>
        <v>84168</v>
      </c>
      <c r="J12" s="61"/>
      <c r="K12" s="61">
        <f>'Kensington Gardens'!L26</f>
        <v>91937</v>
      </c>
      <c r="L12" s="61">
        <f>'Kensington Gardens'!M26</f>
        <v>94789</v>
      </c>
      <c r="M12" s="61">
        <f>'Kensington Gardens'!N26</f>
        <v>97727</v>
      </c>
      <c r="O12" s="63">
        <f t="shared" si="0"/>
        <v>0.88550357176673578</v>
      </c>
    </row>
    <row r="13" spans="2:15" x14ac:dyDescent="0.3">
      <c r="B13" s="64" t="s">
        <v>7</v>
      </c>
      <c r="C13" s="61">
        <f>'Play Areas'!C36</f>
        <v>39300</v>
      </c>
      <c r="D13" s="61">
        <f>'Play Areas'!D36</f>
        <v>31940</v>
      </c>
      <c r="E13" s="61">
        <f>'Play Areas'!E36</f>
        <v>89309</v>
      </c>
      <c r="F13" s="61">
        <f>'Play Areas'!F36</f>
        <v>0</v>
      </c>
      <c r="G13" s="61">
        <f>'Play Areas'!G36</f>
        <v>89309</v>
      </c>
      <c r="H13" s="61">
        <f>'Play Areas'!H36</f>
        <v>37533.445337036297</v>
      </c>
      <c r="I13" s="61">
        <f>'Play Areas'!I36</f>
        <v>95500</v>
      </c>
      <c r="J13" s="61"/>
      <c r="K13" s="61">
        <f>'Play Areas'!L36</f>
        <v>96865</v>
      </c>
      <c r="L13" s="61">
        <f>'Play Areas'!M36</f>
        <v>98271</v>
      </c>
      <c r="M13" s="61">
        <f>'Play Areas'!N36</f>
        <v>99719</v>
      </c>
      <c r="O13" s="63">
        <f t="shared" si="0"/>
        <v>1.0693211210516298</v>
      </c>
    </row>
    <row r="14" spans="2:15" x14ac:dyDescent="0.3">
      <c r="B14" s="64" t="s">
        <v>49</v>
      </c>
      <c r="C14" s="61">
        <f>'Fen Park'!C15</f>
        <v>0</v>
      </c>
      <c r="D14" s="61">
        <f>'Fen Park'!D15</f>
        <v>0</v>
      </c>
      <c r="E14" s="61">
        <f>'Fen Park'!E15</f>
        <v>0</v>
      </c>
      <c r="F14" s="61">
        <f>'Fen Park'!F15</f>
        <v>0</v>
      </c>
      <c r="G14" s="61">
        <f>'Fen Park'!G15</f>
        <v>0</v>
      </c>
      <c r="H14" s="61">
        <f>'Fen Park'!H15</f>
        <v>0</v>
      </c>
      <c r="I14" s="61">
        <f>'Fen Park'!I15</f>
        <v>16381</v>
      </c>
      <c r="J14" s="61"/>
      <c r="K14" s="61">
        <f>'Fen Park'!L15</f>
        <v>16873</v>
      </c>
      <c r="L14" s="61">
        <f>'Fen Park'!M15</f>
        <v>17380</v>
      </c>
      <c r="M14" s="61">
        <f>'Fen Park'!N15</f>
        <v>17902</v>
      </c>
      <c r="O14" s="63" t="s">
        <v>186</v>
      </c>
    </row>
    <row r="15" spans="2:15" x14ac:dyDescent="0.3">
      <c r="B15" s="64" t="s">
        <v>8</v>
      </c>
      <c r="C15" s="61">
        <f>'Denes Oval'!C25</f>
        <v>76000</v>
      </c>
      <c r="D15" s="61">
        <f>'Denes Oval'!D25</f>
        <v>72243</v>
      </c>
      <c r="E15" s="61">
        <f>'Denes Oval'!E25</f>
        <v>88990</v>
      </c>
      <c r="F15" s="61">
        <f>'Denes Oval'!F25</f>
        <v>0</v>
      </c>
      <c r="G15" s="61">
        <f>'Denes Oval'!G25</f>
        <v>88990</v>
      </c>
      <c r="H15" s="61">
        <f>'Denes Oval'!H25</f>
        <v>84393.137890071986</v>
      </c>
      <c r="I15" s="61">
        <f>'Denes Oval'!I25</f>
        <v>65383</v>
      </c>
      <c r="J15" s="61"/>
      <c r="K15" s="61">
        <f>'Denes Oval'!L25</f>
        <v>67344</v>
      </c>
      <c r="L15" s="61">
        <f>'Denes Oval'!M25</f>
        <v>69365</v>
      </c>
      <c r="M15" s="61">
        <f>'Denes Oval'!N25</f>
        <v>71446</v>
      </c>
      <c r="O15" s="63">
        <f t="shared" si="0"/>
        <v>0.73472300258456003</v>
      </c>
    </row>
    <row r="16" spans="2:15" x14ac:dyDescent="0.3">
      <c r="B16" s="64" t="s">
        <v>9</v>
      </c>
      <c r="C16" s="61">
        <f>'Normanston Park'!C24</f>
        <v>87300</v>
      </c>
      <c r="D16" s="61">
        <f>'Normanston Park'!D24</f>
        <v>78348</v>
      </c>
      <c r="E16" s="61">
        <f>'Normanston Park'!E24</f>
        <v>93293</v>
      </c>
      <c r="F16" s="61">
        <f>'Normanston Park'!F24</f>
        <v>0</v>
      </c>
      <c r="G16" s="61">
        <f>'Normanston Park'!G24</f>
        <v>93293</v>
      </c>
      <c r="H16" s="61">
        <f>'Normanston Park'!H24</f>
        <v>88496.87578448336</v>
      </c>
      <c r="I16" s="61">
        <f>'Normanston Park'!I24</f>
        <v>78448</v>
      </c>
      <c r="J16" s="61"/>
      <c r="K16" s="61">
        <f>'Normanston Park'!L24</f>
        <v>84079</v>
      </c>
      <c r="L16" s="61">
        <f>'Normanston Park'!M24</f>
        <v>86789</v>
      </c>
      <c r="M16" s="61">
        <f>'Normanston Park'!N24</f>
        <v>89580</v>
      </c>
      <c r="O16" s="63">
        <f t="shared" si="0"/>
        <v>0.84087766499094252</v>
      </c>
    </row>
    <row r="17" spans="2:15" x14ac:dyDescent="0.3">
      <c r="B17" s="64" t="s">
        <v>158</v>
      </c>
      <c r="C17" s="61">
        <f>SUM(C9:C16)</f>
        <v>370700</v>
      </c>
      <c r="D17" s="61">
        <f>SUM(D9:D16)</f>
        <v>353588</v>
      </c>
      <c r="E17" s="61">
        <f>SUM(E9:E16)</f>
        <v>532979</v>
      </c>
      <c r="F17" s="61">
        <f t="shared" ref="F17:M17" si="1">SUM(F9:F16)</f>
        <v>-65000</v>
      </c>
      <c r="G17" s="61">
        <f t="shared" si="1"/>
        <v>467979</v>
      </c>
      <c r="H17" s="61">
        <f t="shared" si="1"/>
        <v>387865.93765357428</v>
      </c>
      <c r="I17" s="61">
        <f>SUM(I9:I16)</f>
        <v>447078</v>
      </c>
      <c r="J17" s="61"/>
      <c r="K17" s="61">
        <f t="shared" si="1"/>
        <v>520899</v>
      </c>
      <c r="L17" s="61">
        <f t="shared" si="1"/>
        <v>536115</v>
      </c>
      <c r="M17" s="61">
        <f t="shared" si="1"/>
        <v>551785</v>
      </c>
      <c r="O17" s="63">
        <f t="shared" si="0"/>
        <v>0.83882854671572427</v>
      </c>
    </row>
    <row r="18" spans="2:15" x14ac:dyDescent="0.3">
      <c r="B18" s="56" t="s">
        <v>16</v>
      </c>
      <c r="C18" s="61">
        <f>'Triangle Market'!C16</f>
        <v>0</v>
      </c>
      <c r="D18" s="61">
        <f>'Triangle Market'!D16</f>
        <v>0</v>
      </c>
      <c r="E18" s="61">
        <f>'Triangle Market'!E16</f>
        <v>0</v>
      </c>
      <c r="F18" s="61">
        <f>'Triangle Market'!F16</f>
        <v>0</v>
      </c>
      <c r="G18" s="61">
        <f>'Triangle Market'!G16</f>
        <v>0</v>
      </c>
      <c r="H18" s="61">
        <f>'Triangle Market'!H16</f>
        <v>0</v>
      </c>
      <c r="I18" s="61">
        <f>'Triangle Market'!I16</f>
        <v>16510</v>
      </c>
      <c r="J18" s="61"/>
      <c r="K18" s="61">
        <f>'Triangle Market'!L16</f>
        <v>17047</v>
      </c>
      <c r="L18" s="61">
        <f>'Triangle Market'!M16</f>
        <v>17600</v>
      </c>
      <c r="M18" s="61">
        <f>'Triangle Market'!N16</f>
        <v>18171</v>
      </c>
      <c r="O18" s="63" t="s">
        <v>186</v>
      </c>
    </row>
    <row r="19" spans="2:15" x14ac:dyDescent="0.3">
      <c r="B19" s="65" t="s">
        <v>10</v>
      </c>
      <c r="C19" s="61">
        <f>'Pakefield Street PC'!C19</f>
        <v>7800</v>
      </c>
      <c r="D19" s="61">
        <f>'Pakefield Street PC'!D19</f>
        <v>5563</v>
      </c>
      <c r="E19" s="61">
        <f>'Pakefield Street PC'!E19</f>
        <v>7033</v>
      </c>
      <c r="F19" s="61">
        <f>'Pakefield Street PC'!F19</f>
        <v>0</v>
      </c>
      <c r="G19" s="61">
        <f>'Pakefield Street PC'!G19</f>
        <v>7033</v>
      </c>
      <c r="H19" s="61">
        <f>'Pakefield Street PC'!H19</f>
        <v>8953.3190223316706</v>
      </c>
      <c r="I19" s="61">
        <f>'Pakefield Street PC'!I19</f>
        <v>11361</v>
      </c>
      <c r="J19" s="61"/>
      <c r="K19" s="61">
        <f>'Pakefield Street PC'!L19</f>
        <v>11702</v>
      </c>
      <c r="L19" s="61">
        <f>'Pakefield Street PC'!M19</f>
        <v>12053</v>
      </c>
      <c r="M19" s="61">
        <f>'Pakefield Street PC'!N19</f>
        <v>12415</v>
      </c>
      <c r="O19" s="63">
        <f t="shared" si="0"/>
        <v>1.6153846153846154</v>
      </c>
    </row>
    <row r="20" spans="2:15" x14ac:dyDescent="0.3">
      <c r="B20" s="65" t="s">
        <v>11</v>
      </c>
      <c r="C20" s="61">
        <f>'Triangle Market PC'!C17</f>
        <v>9500</v>
      </c>
      <c r="D20" s="61">
        <f>'Triangle Market PC'!D17</f>
        <v>7433</v>
      </c>
      <c r="E20" s="61">
        <f>'Triangle Market PC'!E17</f>
        <v>8685</v>
      </c>
      <c r="F20" s="61">
        <f>'Triangle Market PC'!F17</f>
        <v>0</v>
      </c>
      <c r="G20" s="61">
        <f>'Triangle Market PC'!G17</f>
        <v>8685</v>
      </c>
      <c r="H20" s="61">
        <f>'Triangle Market PC'!H17</f>
        <v>8338.2940598946607</v>
      </c>
      <c r="I20" s="61">
        <f>'Triangle Market PC'!I17</f>
        <v>0</v>
      </c>
      <c r="J20" s="61"/>
      <c r="K20" s="61">
        <f>'Triangle Market PC'!L17</f>
        <v>0</v>
      </c>
      <c r="L20" s="61">
        <f>'Triangle Market PC'!M17</f>
        <v>0</v>
      </c>
      <c r="M20" s="61">
        <f>'Triangle Market PC'!N17</f>
        <v>0</v>
      </c>
      <c r="O20" s="63">
        <f t="shared" si="0"/>
        <v>0</v>
      </c>
    </row>
    <row r="21" spans="2:15" x14ac:dyDescent="0.3">
      <c r="B21" s="65" t="s">
        <v>12</v>
      </c>
      <c r="C21" s="61">
        <f>'Kensington Gardens PC'!C19</f>
        <v>21800</v>
      </c>
      <c r="D21" s="61">
        <f>'Kensington Gardens PC'!D19</f>
        <v>3113</v>
      </c>
      <c r="E21" s="61">
        <f>'Kensington Gardens PC'!E19</f>
        <v>20859</v>
      </c>
      <c r="F21" s="61">
        <f>'Kensington Gardens PC'!F19</f>
        <v>0</v>
      </c>
      <c r="G21" s="61">
        <f>'Kensington Gardens PC'!G19</f>
        <v>20859</v>
      </c>
      <c r="H21" s="61">
        <f>'Kensington Gardens PC'!H19</f>
        <v>22751.413382730247</v>
      </c>
      <c r="I21" s="61">
        <f>'Kensington Gardens PC'!I19</f>
        <v>0</v>
      </c>
      <c r="J21" s="61"/>
      <c r="K21" s="61">
        <f>'Kensington Gardens PC'!L19</f>
        <v>0</v>
      </c>
      <c r="L21" s="61">
        <f>'Kensington Gardens PC'!M19</f>
        <v>0</v>
      </c>
      <c r="M21" s="61">
        <f>'Kensington Gardens PC'!N19</f>
        <v>0</v>
      </c>
      <c r="O21" s="63">
        <f t="shared" si="0"/>
        <v>0</v>
      </c>
    </row>
    <row r="22" spans="2:15" x14ac:dyDescent="0.3">
      <c r="B22" s="65" t="s">
        <v>13</v>
      </c>
      <c r="C22" s="61">
        <f>'Kirkley Cliff Road PC'!C20</f>
        <v>6200</v>
      </c>
      <c r="D22" s="61">
        <f>'Kirkley Cliff Road PC'!D20</f>
        <v>0</v>
      </c>
      <c r="E22" s="61">
        <f>'Kirkley Cliff Road PC'!E20</f>
        <v>6417</v>
      </c>
      <c r="F22" s="61">
        <f>'Kirkley Cliff Road PC'!F20</f>
        <v>0</v>
      </c>
      <c r="G22" s="61">
        <f>'Kirkley Cliff Road PC'!G20</f>
        <v>6417</v>
      </c>
      <c r="H22" s="61">
        <f>'Kirkley Cliff Road PC'!H20</f>
        <v>6091.3065411131665</v>
      </c>
      <c r="I22" s="61">
        <f>'Kirkley Cliff Road PC'!I20</f>
        <v>10700</v>
      </c>
      <c r="J22" s="61"/>
      <c r="K22" s="61">
        <f>'Kirkley Cliff Road PC'!L20</f>
        <v>11021</v>
      </c>
      <c r="L22" s="61">
        <f>'Kirkley Cliff Road PC'!M20</f>
        <v>11352</v>
      </c>
      <c r="M22" s="61">
        <f>'Kirkley Cliff Road PC'!N20</f>
        <v>11693</v>
      </c>
      <c r="O22" s="63">
        <f t="shared" si="0"/>
        <v>1.6674458469689886</v>
      </c>
    </row>
    <row r="23" spans="2:15" x14ac:dyDescent="0.3">
      <c r="B23" s="65" t="s">
        <v>14</v>
      </c>
      <c r="C23" s="61">
        <f>'Lowestoft Cemetery PC'!C20</f>
        <v>6500</v>
      </c>
      <c r="D23" s="61">
        <f>'Lowestoft Cemetery PC'!D20</f>
        <v>5563</v>
      </c>
      <c r="E23" s="61">
        <f>'Lowestoft Cemetery PC'!E20</f>
        <v>6703</v>
      </c>
      <c r="F23" s="61">
        <f>'Lowestoft Cemetery PC'!F20</f>
        <v>0</v>
      </c>
      <c r="G23" s="61">
        <f>'Lowestoft Cemetery PC'!G20</f>
        <v>6703</v>
      </c>
      <c r="H23" s="61">
        <f>'Lowestoft Cemetery PC'!H20</f>
        <v>6398.3190223316715</v>
      </c>
      <c r="I23" s="61">
        <f>'Lowestoft Cemetery PC'!I20</f>
        <v>11421</v>
      </c>
      <c r="J23" s="61"/>
      <c r="K23" s="61">
        <f>'Lowestoft Cemetery PC'!L20</f>
        <v>11764</v>
      </c>
      <c r="L23" s="61">
        <f>'Lowestoft Cemetery PC'!M20</f>
        <v>12117</v>
      </c>
      <c r="M23" s="61">
        <f>'Lowestoft Cemetery PC'!N20</f>
        <v>12481</v>
      </c>
      <c r="O23" s="63">
        <f t="shared" si="0"/>
        <v>1.7038639415187229</v>
      </c>
    </row>
    <row r="24" spans="2:15" x14ac:dyDescent="0.3">
      <c r="B24" s="65" t="s">
        <v>15</v>
      </c>
      <c r="C24" s="61">
        <f>'Fen Park PC'!C13</f>
        <v>0</v>
      </c>
      <c r="D24" s="61">
        <f>'Fen Park PC'!D13</f>
        <v>0</v>
      </c>
      <c r="E24" s="61">
        <f>'Fen Park PC'!E13</f>
        <v>7500</v>
      </c>
      <c r="F24" s="61">
        <f>'Fen Park PC'!F13</f>
        <v>0</v>
      </c>
      <c r="G24" s="61">
        <f>'Fen Park PC'!G13</f>
        <v>7500</v>
      </c>
      <c r="H24" s="61">
        <f>'Fen Park PC'!H13</f>
        <v>0</v>
      </c>
      <c r="I24" s="61">
        <f>'Fen Park PC'!I13</f>
        <v>0</v>
      </c>
      <c r="J24" s="61"/>
      <c r="K24" s="61">
        <f>'Fen Park PC'!L13</f>
        <v>0</v>
      </c>
      <c r="L24" s="61">
        <f>'Fen Park PC'!M13</f>
        <v>0</v>
      </c>
      <c r="M24" s="61">
        <f>'Fen Park PC'!N13</f>
        <v>0</v>
      </c>
      <c r="O24" s="63">
        <f t="shared" si="0"/>
        <v>0</v>
      </c>
    </row>
    <row r="25" spans="2:15" x14ac:dyDescent="0.3">
      <c r="B25" s="65" t="s">
        <v>157</v>
      </c>
      <c r="C25" s="61">
        <f>SUM(C19:C24)</f>
        <v>51800</v>
      </c>
      <c r="D25" s="61">
        <f>SUM(D19:D24)</f>
        <v>21672</v>
      </c>
      <c r="E25" s="61">
        <f>SUM(E19:E24)</f>
        <v>57197</v>
      </c>
      <c r="F25" s="61">
        <f t="shared" ref="F25:M25" si="2">SUM(F19:F24)</f>
        <v>0</v>
      </c>
      <c r="G25" s="61">
        <f t="shared" si="2"/>
        <v>57197</v>
      </c>
      <c r="H25" s="61">
        <f t="shared" si="2"/>
        <v>52532.652028401419</v>
      </c>
      <c r="I25" s="61">
        <f t="shared" si="2"/>
        <v>33482</v>
      </c>
      <c r="J25" s="61"/>
      <c r="K25" s="61">
        <f t="shared" si="2"/>
        <v>34487</v>
      </c>
      <c r="L25" s="61">
        <f t="shared" si="2"/>
        <v>35522</v>
      </c>
      <c r="M25" s="61">
        <f t="shared" si="2"/>
        <v>36589</v>
      </c>
      <c r="O25" s="63">
        <f t="shared" si="0"/>
        <v>0.58538035211636974</v>
      </c>
    </row>
    <row r="26" spans="2:15" x14ac:dyDescent="0.3">
      <c r="B26" s="56" t="s">
        <v>17</v>
      </c>
      <c r="C26" s="61">
        <f>Miscellaneous!C48</f>
        <v>56500</v>
      </c>
      <c r="D26" s="61">
        <f>Miscellaneous!D48</f>
        <v>-51644</v>
      </c>
      <c r="E26" s="61">
        <f>Miscellaneous!E48</f>
        <v>61718</v>
      </c>
      <c r="F26" s="61">
        <f>Miscellaneous!F48</f>
        <v>20000</v>
      </c>
      <c r="G26" s="61">
        <f>Miscellaneous!G48</f>
        <v>81718</v>
      </c>
      <c r="H26" s="61">
        <f>Miscellaneous!H48</f>
        <v>13749.246396936378</v>
      </c>
      <c r="I26" s="61">
        <f>Miscellaneous!I48</f>
        <v>80397</v>
      </c>
      <c r="J26" s="61"/>
      <c r="K26" s="61">
        <f>Miscellaneous!L48</f>
        <v>98237</v>
      </c>
      <c r="L26" s="61">
        <f>Miscellaneous!M48</f>
        <v>99328</v>
      </c>
      <c r="M26" s="61">
        <f>Miscellaneous!N48</f>
        <v>105900</v>
      </c>
      <c r="O26" s="63">
        <f t="shared" si="0"/>
        <v>1.3026507663890599</v>
      </c>
    </row>
    <row r="27" spans="2:15" x14ac:dyDescent="0.3">
      <c r="B27" s="56" t="s">
        <v>265</v>
      </c>
      <c r="C27" s="61">
        <f>'Capital Works'!C15</f>
        <v>0</v>
      </c>
      <c r="D27" s="61">
        <f>'Capital Works'!D15</f>
        <v>0</v>
      </c>
      <c r="E27" s="61">
        <f>'Capital Works'!E15</f>
        <v>0</v>
      </c>
      <c r="F27" s="61">
        <f>'Capital Works'!F15</f>
        <v>0</v>
      </c>
      <c r="G27" s="61">
        <f>'Capital Works'!G15</f>
        <v>0</v>
      </c>
      <c r="H27" s="61">
        <f>'Capital Works'!H15</f>
        <v>0</v>
      </c>
      <c r="I27" s="61">
        <f>'Capital Works'!I15</f>
        <v>223448</v>
      </c>
      <c r="J27" s="61"/>
      <c r="K27" s="61">
        <f>'Capital Works'!L15</f>
        <v>176081.06</v>
      </c>
      <c r="L27" s="61">
        <f>'Capital Works'!M15</f>
        <v>176081</v>
      </c>
      <c r="M27" s="61">
        <f>'Capital Works'!N15</f>
        <v>176081</v>
      </c>
      <c r="O27" s="63" t="s">
        <v>186</v>
      </c>
    </row>
    <row r="28" spans="2:15" x14ac:dyDescent="0.3">
      <c r="B28" s="56" t="s">
        <v>18</v>
      </c>
      <c r="C28" s="61">
        <f>Offices!C23</f>
        <v>0</v>
      </c>
      <c r="D28" s="61">
        <f>Offices!D23</f>
        <v>0</v>
      </c>
      <c r="E28" s="61">
        <f>Offices!E23</f>
        <v>0</v>
      </c>
      <c r="F28" s="61">
        <f>148100</f>
        <v>148100</v>
      </c>
      <c r="G28" s="61">
        <f>Offices!G23</f>
        <v>148100</v>
      </c>
      <c r="H28" s="61">
        <f>Offices!H23</f>
        <v>237368</v>
      </c>
      <c r="I28" s="61">
        <f>Offices!I23</f>
        <v>49068</v>
      </c>
      <c r="J28" s="61"/>
      <c r="K28" s="61">
        <f>Offices!L23</f>
        <v>48509</v>
      </c>
      <c r="L28" s="61">
        <f>Offices!M23</f>
        <v>48449</v>
      </c>
      <c r="M28" s="61">
        <f>Offices!N23</f>
        <v>48387</v>
      </c>
      <c r="O28" s="63" t="s">
        <v>186</v>
      </c>
    </row>
    <row r="29" spans="2:15" x14ac:dyDescent="0.3">
      <c r="B29" s="56" t="s">
        <v>19</v>
      </c>
      <c r="C29" s="61">
        <f>'Town Hall'!C32</f>
        <v>86120</v>
      </c>
      <c r="D29" s="61">
        <f>'Town Hall'!D32</f>
        <v>16127</v>
      </c>
      <c r="E29" s="61">
        <f>'Town Hall'!E32</f>
        <v>64776</v>
      </c>
      <c r="F29" s="61">
        <f>'Town Hall'!F32</f>
        <v>0</v>
      </c>
      <c r="G29" s="61">
        <f>'Town Hall'!G32</f>
        <v>64776</v>
      </c>
      <c r="H29" s="61">
        <f>'Town Hall'!H32</f>
        <v>1300</v>
      </c>
      <c r="I29" s="61">
        <f>'Town Hall'!I32</f>
        <v>38626</v>
      </c>
      <c r="J29" s="61"/>
      <c r="K29" s="61">
        <f>'Town Hall'!L32</f>
        <v>39185</v>
      </c>
      <c r="L29" s="61">
        <f>'Town Hall'!M32</f>
        <v>39761</v>
      </c>
      <c r="M29" s="61">
        <f>'Town Hall'!N32</f>
        <v>40354</v>
      </c>
      <c r="O29" s="63">
        <f t="shared" si="0"/>
        <v>0.59630109917253304</v>
      </c>
    </row>
    <row r="30" spans="2:15" x14ac:dyDescent="0.3">
      <c r="B30" s="56" t="s">
        <v>20</v>
      </c>
      <c r="C30" s="61">
        <f>Admininstration!C24</f>
        <v>135000</v>
      </c>
      <c r="D30" s="61">
        <f>Admininstration!D24</f>
        <v>5287</v>
      </c>
      <c r="E30" s="61">
        <f>Admininstration!E24</f>
        <v>56000</v>
      </c>
      <c r="F30" s="61">
        <f>Admininstration!F24</f>
        <v>-38100</v>
      </c>
      <c r="G30" s="61">
        <f>Admininstration!G24</f>
        <v>17900</v>
      </c>
      <c r="H30" s="61">
        <f>Admininstration!H24</f>
        <v>36835</v>
      </c>
      <c r="I30" s="61">
        <f>Admininstration!I24</f>
        <v>53000</v>
      </c>
      <c r="J30" s="61"/>
      <c r="K30" s="61">
        <f>Admininstration!L24</f>
        <v>73426</v>
      </c>
      <c r="L30" s="61">
        <f>Admininstration!M24</f>
        <v>74130</v>
      </c>
      <c r="M30" s="61">
        <f>Admininstration!N24</f>
        <v>74854</v>
      </c>
      <c r="O30" s="63">
        <f t="shared" si="0"/>
        <v>0.9464285714285714</v>
      </c>
    </row>
    <row r="31" spans="2:15" x14ac:dyDescent="0.3">
      <c r="B31" s="56" t="s">
        <v>160</v>
      </c>
      <c r="C31" s="61">
        <f>'Elections and fixed costs'!C21</f>
        <v>66660</v>
      </c>
      <c r="D31" s="61">
        <f>'Elections and fixed costs'!D21</f>
        <v>58147</v>
      </c>
      <c r="E31" s="61">
        <f>'Elections and fixed costs'!E21</f>
        <v>54632</v>
      </c>
      <c r="F31" s="61">
        <f>'Elections and fixed costs'!F21</f>
        <v>-5000</v>
      </c>
      <c r="G31" s="61">
        <f>'Elections and fixed costs'!G21</f>
        <v>49632</v>
      </c>
      <c r="H31" s="61">
        <f>'Elections and fixed costs'!H21</f>
        <v>56456</v>
      </c>
      <c r="I31" s="61">
        <f>'Elections and fixed costs'!I21</f>
        <v>71600</v>
      </c>
      <c r="J31" s="61"/>
      <c r="K31" s="61">
        <f>'Elections and fixed costs'!L21</f>
        <v>68298</v>
      </c>
      <c r="L31" s="61">
        <f>'Elections and fixed costs'!M21</f>
        <v>70347</v>
      </c>
      <c r="M31" s="61">
        <f>'Elections and fixed costs'!N21</f>
        <v>72459</v>
      </c>
      <c r="O31" s="63">
        <f t="shared" si="0"/>
        <v>1.3105872016400644</v>
      </c>
    </row>
    <row r="32" spans="2:15" x14ac:dyDescent="0.3">
      <c r="B32" s="56" t="s">
        <v>156</v>
      </c>
      <c r="C32" s="61">
        <f>'Staff, Training and CPD'!C21</f>
        <v>243600</v>
      </c>
      <c r="D32" s="61">
        <f>'Staff, Training and CPD'!D21</f>
        <v>92683</v>
      </c>
      <c r="E32" s="61">
        <f>'Staff, Training and CPD'!E21</f>
        <v>348444</v>
      </c>
      <c r="F32" s="61">
        <f>'Staff, Training and CPD'!F21</f>
        <v>-85000</v>
      </c>
      <c r="G32" s="61">
        <f>'Staff, Training and CPD'!G21</f>
        <v>263444</v>
      </c>
      <c r="H32" s="61">
        <f>'Staff, Training and CPD'!H21</f>
        <v>236985</v>
      </c>
      <c r="I32" s="61">
        <f>'Staff, Training and CPD'!I21</f>
        <v>330938</v>
      </c>
      <c r="J32" s="61"/>
      <c r="K32" s="61">
        <f>'Staff, Training and CPD'!L21</f>
        <v>355778</v>
      </c>
      <c r="L32" s="61">
        <f>'Staff, Training and CPD'!M21</f>
        <v>377974</v>
      </c>
      <c r="M32" s="61">
        <f>'Staff, Training and CPD'!N21</f>
        <v>388413</v>
      </c>
      <c r="O32" s="63">
        <f t="shared" si="0"/>
        <v>0.94975950224426309</v>
      </c>
    </row>
    <row r="33" spans="2:17 16384:16384" s="58" customFormat="1" x14ac:dyDescent="0.3">
      <c r="B33" s="66" t="s">
        <v>154</v>
      </c>
      <c r="C33" s="61">
        <f t="shared" ref="C33:I33" si="3">SUM(C4:C32)-C17-C25</f>
        <v>1392280</v>
      </c>
      <c r="D33" s="61">
        <f t="shared" si="3"/>
        <v>691153</v>
      </c>
      <c r="E33" s="61">
        <f t="shared" si="3"/>
        <v>1608848</v>
      </c>
      <c r="F33" s="61">
        <f t="shared" si="3"/>
        <v>0</v>
      </c>
      <c r="G33" s="61">
        <f t="shared" si="3"/>
        <v>1608848</v>
      </c>
      <c r="H33" s="61">
        <f t="shared" si="3"/>
        <v>1371661.1382480729</v>
      </c>
      <c r="I33" s="61">
        <f t="shared" si="3"/>
        <v>1783537</v>
      </c>
      <c r="J33" s="61"/>
      <c r="K33" s="61">
        <f>SUM(K4:K32)-K17-K25</f>
        <v>1916117.06</v>
      </c>
      <c r="L33" s="61">
        <f>SUM(L4:L32)-L17-L25</f>
        <v>1967367</v>
      </c>
      <c r="M33" s="61">
        <f>SUM(M4:M32)-M17-M25</f>
        <v>2012457</v>
      </c>
      <c r="O33" s="63">
        <f>I33/E33</f>
        <v>1.1085801766232732</v>
      </c>
      <c r="XFD33" s="62"/>
    </row>
    <row r="34" spans="2:17 16384:16384" x14ac:dyDescent="0.3">
      <c r="D34" s="67"/>
      <c r="E34" s="68"/>
      <c r="G34" s="68"/>
      <c r="Q34" s="68"/>
    </row>
    <row r="35" spans="2:17 16384:16384" x14ac:dyDescent="0.3">
      <c r="B35" s="68"/>
      <c r="C35" s="62" t="s">
        <v>37</v>
      </c>
      <c r="D35" s="62">
        <v>1.03</v>
      </c>
      <c r="E35" s="68"/>
      <c r="I35" s="68"/>
    </row>
    <row r="36" spans="2:17 16384:16384" x14ac:dyDescent="0.3">
      <c r="B36" s="68"/>
    </row>
  </sheetData>
  <pageMargins left="0.7" right="0.7" top="0.75" bottom="0.75" header="0.3" footer="0.3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3:N20"/>
  <sheetViews>
    <sheetView workbookViewId="0">
      <selection activeCell="J13" sqref="J13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13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/>
      <c r="E6" s="6">
        <v>0</v>
      </c>
      <c r="F6" s="6"/>
      <c r="G6" s="6">
        <v>0</v>
      </c>
      <c r="H6" s="6"/>
      <c r="I6" s="6">
        <v>0</v>
      </c>
      <c r="J6" s="6"/>
      <c r="K6" s="6"/>
      <c r="L6" s="6">
        <v>0</v>
      </c>
      <c r="M6" s="6">
        <v>0</v>
      </c>
      <c r="N6" s="6">
        <v>0</v>
      </c>
    </row>
    <row r="7" spans="2:14" x14ac:dyDescent="0.3">
      <c r="B7" s="12" t="s">
        <v>41</v>
      </c>
      <c r="C7" s="13">
        <v>0</v>
      </c>
      <c r="D7" s="13"/>
      <c r="E7" s="13">
        <v>0</v>
      </c>
      <c r="F7" s="13"/>
      <c r="G7" s="13">
        <v>0</v>
      </c>
      <c r="H7" s="13"/>
      <c r="I7" s="13">
        <v>0</v>
      </c>
      <c r="J7" s="13"/>
      <c r="K7" s="13" t="s">
        <v>112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0</v>
      </c>
      <c r="D8" s="13"/>
      <c r="E8" s="13">
        <v>0</v>
      </c>
      <c r="F8" s="13"/>
      <c r="G8" s="13">
        <v>0</v>
      </c>
      <c r="H8" s="13"/>
      <c r="I8" s="13">
        <v>0</v>
      </c>
      <c r="J8" s="13"/>
      <c r="K8" s="13" t="s">
        <v>112</v>
      </c>
      <c r="L8" s="13">
        <v>0</v>
      </c>
      <c r="M8" s="13">
        <v>0</v>
      </c>
      <c r="N8" s="13">
        <v>0</v>
      </c>
    </row>
    <row r="9" spans="2:14" x14ac:dyDescent="0.3">
      <c r="B9" s="12" t="s">
        <v>58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v>0</v>
      </c>
      <c r="J9" s="13"/>
      <c r="K9" s="13" t="s">
        <v>112</v>
      </c>
      <c r="L9" s="13">
        <v>0</v>
      </c>
      <c r="M9" s="13">
        <v>0</v>
      </c>
      <c r="N9" s="13">
        <v>0</v>
      </c>
    </row>
    <row r="10" spans="2:14" x14ac:dyDescent="0.3">
      <c r="B10" s="12" t="s">
        <v>79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v>0</v>
      </c>
      <c r="J10" s="13"/>
      <c r="K10" s="13" t="s">
        <v>112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>SUM(C6:C10)</f>
        <v>0</v>
      </c>
      <c r="D11" s="7">
        <f t="shared" ref="D11:M11" si="0">SUM(D6:D10)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/>
      <c r="K11" s="7"/>
      <c r="L11" s="7">
        <f t="shared" si="0"/>
        <v>0</v>
      </c>
      <c r="M11" s="7">
        <f t="shared" si="0"/>
        <v>0</v>
      </c>
      <c r="N11" s="7">
        <f>SUM(N6:N10)</f>
        <v>0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111</v>
      </c>
      <c r="C13" s="6">
        <v>6200</v>
      </c>
      <c r="D13" s="6"/>
      <c r="E13" s="6">
        <v>6417</v>
      </c>
      <c r="F13" s="6"/>
      <c r="G13" s="6">
        <v>6417</v>
      </c>
      <c r="H13" s="6">
        <f>G13*700000/737428</f>
        <v>6091.3065411131665</v>
      </c>
      <c r="I13" s="93">
        <v>10700</v>
      </c>
      <c r="J13" s="49">
        <f>IFERROR(I13/E13,"N/A")</f>
        <v>1.6674458469689886</v>
      </c>
      <c r="K13" s="6"/>
      <c r="L13" s="6">
        <f>ROUND(I13*RPI,0)</f>
        <v>11021</v>
      </c>
      <c r="M13" s="6">
        <f>ROUND(L13*RPI,0)</f>
        <v>11352</v>
      </c>
      <c r="N13" s="6">
        <f>ROUND(M13*RPI,0)</f>
        <v>11693</v>
      </c>
    </row>
    <row r="14" spans="2:14" s="1" customFormat="1" x14ac:dyDescent="0.3">
      <c r="B14" s="2" t="s">
        <v>32</v>
      </c>
      <c r="C14" s="7">
        <f t="shared" ref="C14:I14" si="1">SUM(C12:C13)</f>
        <v>6200</v>
      </c>
      <c r="D14" s="7">
        <f t="shared" si="1"/>
        <v>0</v>
      </c>
      <c r="E14" s="7">
        <f t="shared" si="1"/>
        <v>6417</v>
      </c>
      <c r="F14" s="7">
        <f t="shared" si="1"/>
        <v>0</v>
      </c>
      <c r="G14" s="7">
        <f t="shared" si="1"/>
        <v>6417</v>
      </c>
      <c r="H14" s="7">
        <f t="shared" si="1"/>
        <v>6091.3065411131665</v>
      </c>
      <c r="I14" s="7">
        <f t="shared" si="1"/>
        <v>10700</v>
      </c>
      <c r="J14" s="50">
        <f>IFERROR(I14/E14,"N/A")</f>
        <v>1.6674458469689886</v>
      </c>
      <c r="K14" s="7"/>
      <c r="L14" s="7">
        <f>SUM(L12:L13)</f>
        <v>11021</v>
      </c>
      <c r="M14" s="7">
        <f>SUM(M12:M13)</f>
        <v>11352</v>
      </c>
      <c r="N14" s="7">
        <f>SUM(N12:N13)</f>
        <v>11693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s="1" customFormat="1" x14ac:dyDescent="0.3">
      <c r="B16" s="2" t="s">
        <v>35</v>
      </c>
      <c r="C16" s="7">
        <f t="shared" ref="C16:I16" si="2">0.5*SUM(C5:C15)</f>
        <v>6200</v>
      </c>
      <c r="D16" s="7">
        <f t="shared" si="2"/>
        <v>0</v>
      </c>
      <c r="E16" s="7">
        <f t="shared" si="2"/>
        <v>6417</v>
      </c>
      <c r="F16" s="7">
        <f t="shared" si="2"/>
        <v>0</v>
      </c>
      <c r="G16" s="7">
        <f t="shared" si="2"/>
        <v>6417</v>
      </c>
      <c r="H16" s="7">
        <f t="shared" si="2"/>
        <v>6091.3065411131665</v>
      </c>
      <c r="I16" s="7">
        <f t="shared" si="2"/>
        <v>10700</v>
      </c>
      <c r="J16" s="50">
        <f>IFERROR(I16/E16,"N/A")</f>
        <v>1.6674458469689886</v>
      </c>
      <c r="K16" s="7"/>
      <c r="L16" s="7">
        <f>0.5*SUM(L5:L15)</f>
        <v>11021</v>
      </c>
      <c r="M16" s="7">
        <f>0.5*SUM(M5:M15)</f>
        <v>11352</v>
      </c>
      <c r="N16" s="7">
        <f>0.5*SUM(N5:N15)</f>
        <v>11693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34</v>
      </c>
      <c r="C18" s="7">
        <f t="shared" ref="C18:I18" si="3">SUM(C17:C17)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/>
      <c r="K18" s="7"/>
      <c r="L18" s="7">
        <f>SUM(L17:L17)</f>
        <v>0</v>
      </c>
      <c r="M18" s="7">
        <f>SUM(M17:M17)</f>
        <v>0</v>
      </c>
      <c r="N18" s="7">
        <f>SUM(N17:N17)</f>
        <v>0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33</v>
      </c>
      <c r="C20" s="7">
        <f t="shared" ref="C20:I20" si="4">C18+C16</f>
        <v>6200</v>
      </c>
      <c r="D20" s="7">
        <f t="shared" si="4"/>
        <v>0</v>
      </c>
      <c r="E20" s="7">
        <f t="shared" si="4"/>
        <v>6417</v>
      </c>
      <c r="F20" s="7">
        <f t="shared" si="4"/>
        <v>0</v>
      </c>
      <c r="G20" s="7">
        <f t="shared" si="4"/>
        <v>6417</v>
      </c>
      <c r="H20" s="7">
        <f t="shared" si="4"/>
        <v>6091.3065411131665</v>
      </c>
      <c r="I20" s="7">
        <f t="shared" si="4"/>
        <v>10700</v>
      </c>
      <c r="J20" s="50">
        <f>IFERROR(I20/E20,"N/A")</f>
        <v>1.6674458469689886</v>
      </c>
      <c r="K20" s="7"/>
      <c r="L20" s="7">
        <f>L18+L16</f>
        <v>11021</v>
      </c>
      <c r="M20" s="7">
        <f>M18+M16</f>
        <v>11352</v>
      </c>
      <c r="N20" s="7">
        <f>N18+N16</f>
        <v>11693</v>
      </c>
    </row>
  </sheetData>
  <pageMargins left="0.7" right="0.7" top="0.75" bottom="0.75" header="0.3" footer="0.3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3:N20"/>
  <sheetViews>
    <sheetView workbookViewId="0">
      <selection activeCell="D22" sqref="D2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6">
        <v>0</v>
      </c>
      <c r="H6" s="6">
        <v>700</v>
      </c>
      <c r="I6" s="94">
        <f>ROUND((G7+G8)*RPI,0)</f>
        <v>721</v>
      </c>
      <c r="J6" s="49" t="str">
        <f>IFERROR(I6/E6,"N/A")</f>
        <v>N/A</v>
      </c>
      <c r="K6" s="6"/>
      <c r="L6" s="6">
        <f>ROUND(I6*RPI,0)</f>
        <v>743</v>
      </c>
      <c r="M6" s="6">
        <f>ROUND(L6*RPI,0)</f>
        <v>765</v>
      </c>
      <c r="N6" s="6">
        <f>ROUND(M6*RPI,0)</f>
        <v>788</v>
      </c>
    </row>
    <row r="7" spans="2:14" x14ac:dyDescent="0.3">
      <c r="B7" s="12" t="s">
        <v>43</v>
      </c>
      <c r="C7" s="13">
        <v>400</v>
      </c>
      <c r="D7" s="13">
        <v>0</v>
      </c>
      <c r="E7" s="13">
        <v>412</v>
      </c>
      <c r="F7" s="13"/>
      <c r="G7" s="13">
        <v>412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41</v>
      </c>
      <c r="C8" s="13">
        <v>200</v>
      </c>
      <c r="D8" s="13">
        <v>0</v>
      </c>
      <c r="E8" s="13">
        <v>288</v>
      </c>
      <c r="F8" s="13"/>
      <c r="G8" s="13">
        <v>288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>
        <v>0</v>
      </c>
    </row>
    <row r="9" spans="2:14" x14ac:dyDescent="0.3">
      <c r="B9" s="12" t="s">
        <v>58</v>
      </c>
      <c r="C9" s="13">
        <v>100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108</v>
      </c>
      <c r="L9" s="13">
        <v>0</v>
      </c>
      <c r="M9" s="13">
        <v>0</v>
      </c>
      <c r="N9" s="13">
        <v>0</v>
      </c>
    </row>
    <row r="10" spans="2:14" x14ac:dyDescent="0.3">
      <c r="B10" s="22" t="s">
        <v>79</v>
      </c>
      <c r="C10" s="13">
        <v>0</v>
      </c>
      <c r="D10" s="13">
        <v>0</v>
      </c>
      <c r="E10" s="13">
        <v>0</v>
      </c>
      <c r="F10" s="13"/>
      <c r="G10" s="13">
        <v>0</v>
      </c>
      <c r="H10" s="13"/>
      <c r="I10" s="13">
        <v>0</v>
      </c>
      <c r="J10" s="13"/>
      <c r="K10" s="13"/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>SUM(C6:C10)</f>
        <v>700</v>
      </c>
      <c r="D11" s="7">
        <f t="shared" ref="D11:M11" si="0">SUM(D6:D10)</f>
        <v>0</v>
      </c>
      <c r="E11" s="7">
        <f t="shared" si="0"/>
        <v>700</v>
      </c>
      <c r="F11" s="7">
        <f t="shared" si="0"/>
        <v>0</v>
      </c>
      <c r="G11" s="7">
        <f t="shared" si="0"/>
        <v>700</v>
      </c>
      <c r="H11" s="7">
        <f t="shared" si="0"/>
        <v>700</v>
      </c>
      <c r="I11" s="7">
        <f t="shared" si="0"/>
        <v>721</v>
      </c>
      <c r="J11" s="50">
        <f>IFERROR(I11/E11,"N/A")</f>
        <v>1.03</v>
      </c>
      <c r="K11" s="7"/>
      <c r="L11" s="7">
        <f t="shared" si="0"/>
        <v>743</v>
      </c>
      <c r="M11" s="7">
        <f t="shared" si="0"/>
        <v>765</v>
      </c>
      <c r="N11" s="7">
        <f>SUM(N6:N10)</f>
        <v>788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111</v>
      </c>
      <c r="C13" s="6">
        <v>5800</v>
      </c>
      <c r="D13" s="6">
        <v>5563</v>
      </c>
      <c r="E13" s="6">
        <v>6003</v>
      </c>
      <c r="F13" s="6"/>
      <c r="G13" s="6">
        <v>6003</v>
      </c>
      <c r="H13" s="6">
        <f>G13*700000/737428</f>
        <v>5698.3190223316715</v>
      </c>
      <c r="I13" s="93">
        <v>10700</v>
      </c>
      <c r="J13" s="49">
        <f>IFERROR(I13/E13,"N/A")</f>
        <v>1.7824421122771947</v>
      </c>
      <c r="K13" s="6"/>
      <c r="L13" s="6">
        <f>ROUND(I13*RPI,0)</f>
        <v>11021</v>
      </c>
      <c r="M13" s="6">
        <f>ROUND(L13*RPI,0)</f>
        <v>11352</v>
      </c>
      <c r="N13" s="6">
        <f>ROUND(M13*RPI,0)</f>
        <v>11693</v>
      </c>
    </row>
    <row r="14" spans="2:14" s="1" customFormat="1" x14ac:dyDescent="0.3">
      <c r="B14" s="2" t="s">
        <v>32</v>
      </c>
      <c r="C14" s="7">
        <f t="shared" ref="C14:I14" si="1">SUM(C12:C13)</f>
        <v>5800</v>
      </c>
      <c r="D14" s="7">
        <f t="shared" si="1"/>
        <v>5563</v>
      </c>
      <c r="E14" s="7">
        <f t="shared" si="1"/>
        <v>6003</v>
      </c>
      <c r="F14" s="7">
        <f t="shared" si="1"/>
        <v>0</v>
      </c>
      <c r="G14" s="7">
        <f t="shared" si="1"/>
        <v>6003</v>
      </c>
      <c r="H14" s="7">
        <f t="shared" si="1"/>
        <v>5698.3190223316715</v>
      </c>
      <c r="I14" s="7">
        <f t="shared" si="1"/>
        <v>10700</v>
      </c>
      <c r="J14" s="50">
        <f>IFERROR(I14/E14,"N/A")</f>
        <v>1.7824421122771947</v>
      </c>
      <c r="K14" s="7"/>
      <c r="L14" s="7">
        <f>SUM(L12:L13)</f>
        <v>11021</v>
      </c>
      <c r="M14" s="7">
        <f>SUM(M12:M13)</f>
        <v>11352</v>
      </c>
      <c r="N14" s="7">
        <f>SUM(N12:N13)</f>
        <v>11693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s="1" customFormat="1" x14ac:dyDescent="0.3">
      <c r="B16" s="2" t="s">
        <v>35</v>
      </c>
      <c r="C16" s="7">
        <f t="shared" ref="C16:I16" si="2">0.5*SUM(C5:C15)</f>
        <v>6500</v>
      </c>
      <c r="D16" s="7">
        <f t="shared" si="2"/>
        <v>5563</v>
      </c>
      <c r="E16" s="7">
        <f t="shared" si="2"/>
        <v>6703</v>
      </c>
      <c r="F16" s="7">
        <f t="shared" si="2"/>
        <v>0</v>
      </c>
      <c r="G16" s="7">
        <f t="shared" si="2"/>
        <v>6703</v>
      </c>
      <c r="H16" s="7">
        <f t="shared" si="2"/>
        <v>6398.3190223316715</v>
      </c>
      <c r="I16" s="7">
        <f t="shared" si="2"/>
        <v>11421</v>
      </c>
      <c r="J16" s="50">
        <f>IFERROR(I16/E16,"N/A")</f>
        <v>1.7038639415187229</v>
      </c>
      <c r="K16" s="7"/>
      <c r="L16" s="7">
        <f>0.5*SUM(L5:L15)</f>
        <v>11764</v>
      </c>
      <c r="M16" s="7">
        <f>0.5*SUM(M5:M15)</f>
        <v>12117</v>
      </c>
      <c r="N16" s="7">
        <f>0.5*SUM(N5:N15)</f>
        <v>12481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34</v>
      </c>
      <c r="C18" s="7">
        <f t="shared" ref="C18:I18" si="3">SUM(C17:C17)</f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/>
      <c r="K18" s="7"/>
      <c r="L18" s="7">
        <f>SUM(L17:L17)</f>
        <v>0</v>
      </c>
      <c r="M18" s="7">
        <f>SUM(M17:M17)</f>
        <v>0</v>
      </c>
      <c r="N18" s="7">
        <f>SUM(N17:N17)</f>
        <v>0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33</v>
      </c>
      <c r="C20" s="7">
        <f t="shared" ref="C20:I20" si="4">C18+C16</f>
        <v>6500</v>
      </c>
      <c r="D20" s="7">
        <f t="shared" si="4"/>
        <v>5563</v>
      </c>
      <c r="E20" s="7">
        <f t="shared" si="4"/>
        <v>6703</v>
      </c>
      <c r="F20" s="7">
        <f t="shared" si="4"/>
        <v>0</v>
      </c>
      <c r="G20" s="7">
        <f t="shared" si="4"/>
        <v>6703</v>
      </c>
      <c r="H20" s="7">
        <f t="shared" si="4"/>
        <v>6398.3190223316715</v>
      </c>
      <c r="I20" s="7">
        <f t="shared" si="4"/>
        <v>11421</v>
      </c>
      <c r="J20" s="50">
        <f>IFERROR(I20/E20,"N/A")</f>
        <v>1.7038639415187229</v>
      </c>
      <c r="K20" s="7"/>
      <c r="L20" s="7">
        <f>L18+L16</f>
        <v>11764</v>
      </c>
      <c r="M20" s="7">
        <f>M18+M16</f>
        <v>12117</v>
      </c>
      <c r="N20" s="7">
        <f>N18+N16</f>
        <v>12481</v>
      </c>
    </row>
  </sheetData>
  <pageMargins left="0.7" right="0.7" top="0.75" bottom="0.75" header="0.3" footer="0.3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3:N13"/>
  <sheetViews>
    <sheetView workbookViewId="0">
      <selection activeCell="B19" sqref="B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32" customFormat="1" ht="43.2" x14ac:dyDescent="0.3">
      <c r="B3" s="30" t="s">
        <v>15</v>
      </c>
      <c r="C3" s="31" t="s">
        <v>23</v>
      </c>
      <c r="D3" s="31" t="s">
        <v>22</v>
      </c>
      <c r="E3" s="31" t="s">
        <v>24</v>
      </c>
      <c r="F3" s="31" t="s">
        <v>25</v>
      </c>
      <c r="G3" s="31" t="s">
        <v>26</v>
      </c>
      <c r="H3" s="31" t="s">
        <v>232</v>
      </c>
      <c r="I3" s="31" t="s">
        <v>27</v>
      </c>
      <c r="J3" s="31" t="s">
        <v>190</v>
      </c>
      <c r="K3" s="31" t="s">
        <v>28</v>
      </c>
      <c r="L3" s="31" t="s">
        <v>29</v>
      </c>
      <c r="M3" s="31" t="s">
        <v>30</v>
      </c>
      <c r="N3" s="31" t="s">
        <v>31</v>
      </c>
    </row>
    <row r="4" spans="2:14" s="32" customFormat="1" x14ac:dyDescent="0.3">
      <c r="B4" s="30"/>
      <c r="C4" s="33" t="s">
        <v>36</v>
      </c>
      <c r="D4" s="33" t="s">
        <v>36</v>
      </c>
      <c r="E4" s="33" t="s">
        <v>36</v>
      </c>
      <c r="F4" s="33" t="s">
        <v>36</v>
      </c>
      <c r="G4" s="33" t="s">
        <v>36</v>
      </c>
      <c r="H4" s="33" t="s">
        <v>36</v>
      </c>
      <c r="I4" s="33" t="s">
        <v>36</v>
      </c>
      <c r="J4" s="33" t="s">
        <v>36</v>
      </c>
      <c r="K4" s="33"/>
      <c r="L4" s="33" t="s">
        <v>36</v>
      </c>
      <c r="M4" s="33" t="s">
        <v>36</v>
      </c>
      <c r="N4" s="33" t="s">
        <v>36</v>
      </c>
    </row>
    <row r="5" spans="2:14" s="8" customFormat="1" x14ac:dyDescent="0.3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s="8" customFormat="1" x14ac:dyDescent="0.3">
      <c r="B6" s="34" t="s">
        <v>113</v>
      </c>
      <c r="C6" s="35">
        <v>0</v>
      </c>
      <c r="D6" s="35"/>
      <c r="E6" s="35">
        <v>7500</v>
      </c>
      <c r="F6" s="35"/>
      <c r="G6" s="35">
        <v>7500</v>
      </c>
      <c r="H6" s="35"/>
      <c r="I6" s="35">
        <v>0</v>
      </c>
      <c r="J6" s="35"/>
      <c r="K6" s="35" t="s">
        <v>159</v>
      </c>
      <c r="L6" s="35">
        <f>ROUND(I6*RPI,0)</f>
        <v>0</v>
      </c>
      <c r="M6" s="35">
        <f>ROUND(L6*RPI,0)</f>
        <v>0</v>
      </c>
      <c r="N6" s="35">
        <f>ROUND(M6*RPI,0)</f>
        <v>0</v>
      </c>
    </row>
    <row r="7" spans="2:14" s="32" customFormat="1" x14ac:dyDescent="0.3">
      <c r="B7" s="30" t="s">
        <v>32</v>
      </c>
      <c r="C7" s="36">
        <f t="shared" ref="C7:I7" si="0">SUM(C6:C6)</f>
        <v>0</v>
      </c>
      <c r="D7" s="36">
        <f t="shared" si="0"/>
        <v>0</v>
      </c>
      <c r="E7" s="36">
        <f t="shared" si="0"/>
        <v>7500</v>
      </c>
      <c r="F7" s="36">
        <f t="shared" si="0"/>
        <v>0</v>
      </c>
      <c r="G7" s="36">
        <f t="shared" si="0"/>
        <v>7500</v>
      </c>
      <c r="H7" s="36">
        <f t="shared" si="0"/>
        <v>0</v>
      </c>
      <c r="I7" s="36">
        <f t="shared" si="0"/>
        <v>0</v>
      </c>
      <c r="J7" s="36"/>
      <c r="K7" s="36"/>
      <c r="L7" s="36">
        <f>SUM(L6:L6)</f>
        <v>0</v>
      </c>
      <c r="M7" s="36">
        <f>SUM(M6:M6)</f>
        <v>0</v>
      </c>
      <c r="N7" s="36">
        <f>SUM(N6:N6)</f>
        <v>0</v>
      </c>
    </row>
    <row r="8" spans="2:14" s="8" customFormat="1" x14ac:dyDescent="0.3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s="32" customFormat="1" x14ac:dyDescent="0.3">
      <c r="B9" s="30" t="s">
        <v>35</v>
      </c>
      <c r="C9" s="36">
        <f t="shared" ref="C9:I9" si="1">0.5*SUM(C5:C8)</f>
        <v>0</v>
      </c>
      <c r="D9" s="36">
        <f t="shared" si="1"/>
        <v>0</v>
      </c>
      <c r="E9" s="36">
        <f t="shared" si="1"/>
        <v>7500</v>
      </c>
      <c r="F9" s="36">
        <f t="shared" si="1"/>
        <v>0</v>
      </c>
      <c r="G9" s="36">
        <f t="shared" si="1"/>
        <v>7500</v>
      </c>
      <c r="H9" s="36">
        <f t="shared" si="1"/>
        <v>0</v>
      </c>
      <c r="I9" s="36">
        <f t="shared" si="1"/>
        <v>0</v>
      </c>
      <c r="J9" s="36"/>
      <c r="K9" s="36"/>
      <c r="L9" s="36">
        <f>0.5*SUM(L5:L8)</f>
        <v>0</v>
      </c>
      <c r="M9" s="36">
        <f>0.5*SUM(M5:M8)</f>
        <v>0</v>
      </c>
      <c r="N9" s="36">
        <f>0.5*SUM(N5:N8)</f>
        <v>0</v>
      </c>
    </row>
    <row r="10" spans="2:14" s="8" customForma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2:14" s="32" customFormat="1" x14ac:dyDescent="0.3">
      <c r="B11" s="30" t="s">
        <v>34</v>
      </c>
      <c r="C11" s="36">
        <f t="shared" ref="C11:I11" si="2">SUM(C10:C10)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/>
      <c r="K11" s="36"/>
      <c r="L11" s="36">
        <f>SUM(L10:L10)</f>
        <v>0</v>
      </c>
      <c r="M11" s="36">
        <f>SUM(M10:M10)</f>
        <v>0</v>
      </c>
      <c r="N11" s="36">
        <f>SUM(N10:N10)</f>
        <v>0</v>
      </c>
    </row>
    <row r="12" spans="2:14" s="8" customFormat="1" x14ac:dyDescent="0.3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s="32" customFormat="1" x14ac:dyDescent="0.3">
      <c r="B13" s="30" t="s">
        <v>33</v>
      </c>
      <c r="C13" s="36">
        <f t="shared" ref="C13:I13" si="3">C11+C9</f>
        <v>0</v>
      </c>
      <c r="D13" s="36">
        <f t="shared" si="3"/>
        <v>0</v>
      </c>
      <c r="E13" s="36">
        <f t="shared" si="3"/>
        <v>7500</v>
      </c>
      <c r="F13" s="36">
        <f t="shared" si="3"/>
        <v>0</v>
      </c>
      <c r="G13" s="36">
        <f t="shared" si="3"/>
        <v>7500</v>
      </c>
      <c r="H13" s="36">
        <f t="shared" si="3"/>
        <v>0</v>
      </c>
      <c r="I13" s="36">
        <f t="shared" si="3"/>
        <v>0</v>
      </c>
      <c r="J13" s="36"/>
      <c r="K13" s="36"/>
      <c r="L13" s="36">
        <f>L11+L9</f>
        <v>0</v>
      </c>
      <c r="M13" s="36">
        <f>M11+M9</f>
        <v>0</v>
      </c>
      <c r="N13" s="36">
        <f>N11+N9</f>
        <v>0</v>
      </c>
    </row>
  </sheetData>
  <pageMargins left="0.7" right="0.7" top="0.75" bottom="0.75" header="0.3" footer="0.3"/>
  <pageSetup paperSize="9" scale="6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3:P54"/>
  <sheetViews>
    <sheetView topLeftCell="A4" workbookViewId="0">
      <selection activeCell="J22" sqref="J22"/>
    </sheetView>
  </sheetViews>
  <sheetFormatPr defaultRowHeight="14.4" x14ac:dyDescent="0.3"/>
  <cols>
    <col min="1" max="1" width="4.44140625" customWidth="1"/>
    <col min="2" max="2" width="41.6640625" customWidth="1"/>
    <col min="3" max="3" width="12.21875" hidden="1" customWidth="1"/>
    <col min="4" max="4" width="15.77734375" hidden="1" customWidth="1"/>
    <col min="5" max="5" width="12.21875" customWidth="1"/>
    <col min="6" max="7" width="12.21875" hidden="1" customWidth="1"/>
    <col min="8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114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28.8" x14ac:dyDescent="0.3">
      <c r="B6" s="23" t="s">
        <v>116</v>
      </c>
      <c r="C6" s="6">
        <v>0</v>
      </c>
      <c r="D6" s="6">
        <v>0</v>
      </c>
      <c r="E6" s="6">
        <v>1300</v>
      </c>
      <c r="F6" s="6"/>
      <c r="G6" s="6">
        <v>1300</v>
      </c>
      <c r="H6" s="6">
        <v>1300</v>
      </c>
      <c r="I6" s="94">
        <f>ROUND(G6*RPI,0)</f>
        <v>1339</v>
      </c>
      <c r="J6" s="49">
        <f>IFERROR(I6/E6,"N/A")</f>
        <v>1.03</v>
      </c>
      <c r="K6" s="6"/>
      <c r="L6" s="6">
        <f>ROUND(I6*RPI,0)</f>
        <v>1379</v>
      </c>
      <c r="M6" s="6">
        <f>ROUND(L6*RPI,0)</f>
        <v>1420</v>
      </c>
      <c r="N6" s="6">
        <f>ROUND(M6*RPI,0)</f>
        <v>1463</v>
      </c>
    </row>
    <row r="7" spans="2:14" x14ac:dyDescent="0.3">
      <c r="B7" s="5" t="s">
        <v>115</v>
      </c>
      <c r="C7" s="6">
        <v>0</v>
      </c>
      <c r="D7" s="6">
        <v>0</v>
      </c>
      <c r="E7" s="6">
        <v>1300</v>
      </c>
      <c r="F7" s="6"/>
      <c r="G7" s="6">
        <v>1300</v>
      </c>
      <c r="H7" s="6">
        <v>1300</v>
      </c>
      <c r="I7" s="94">
        <f>ROUND(G7*RPI,0)</f>
        <v>1339</v>
      </c>
      <c r="J7" s="49">
        <f>IFERROR(I7/E7,"N/A")</f>
        <v>1.03</v>
      </c>
      <c r="K7" s="6"/>
      <c r="L7" s="6">
        <f>ROUND(I7*RPI,0)</f>
        <v>1379</v>
      </c>
      <c r="M7" s="6">
        <f>ROUND(L7*RPI,0)</f>
        <v>1420</v>
      </c>
      <c r="N7" s="6">
        <f>ROUND(M7*RPI,0)</f>
        <v>1463</v>
      </c>
    </row>
    <row r="8" spans="2:14" s="1" customFormat="1" x14ac:dyDescent="0.3">
      <c r="B8" s="2" t="s">
        <v>32</v>
      </c>
      <c r="C8" s="7">
        <f t="shared" ref="C8:I8" si="0">SUM(C6:C7)</f>
        <v>0</v>
      </c>
      <c r="D8" s="7">
        <f t="shared" si="0"/>
        <v>0</v>
      </c>
      <c r="E8" s="7">
        <f t="shared" si="0"/>
        <v>2600</v>
      </c>
      <c r="F8" s="7">
        <f t="shared" si="0"/>
        <v>0</v>
      </c>
      <c r="G8" s="7">
        <f t="shared" si="0"/>
        <v>2600</v>
      </c>
      <c r="H8" s="7">
        <f t="shared" si="0"/>
        <v>2600</v>
      </c>
      <c r="I8" s="7">
        <f t="shared" si="0"/>
        <v>2678</v>
      </c>
      <c r="J8" s="50">
        <f>IFERROR(I8/E8,"N/A")</f>
        <v>1.03</v>
      </c>
      <c r="K8" s="7"/>
      <c r="L8" s="7">
        <f>SUM(L6:L7)</f>
        <v>2758</v>
      </c>
      <c r="M8" s="7">
        <f>SUM(M6:M7)</f>
        <v>2840</v>
      </c>
      <c r="N8" s="7">
        <f>SUM(N6:N7)</f>
        <v>2926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5" t="s">
        <v>251</v>
      </c>
      <c r="C10" s="6">
        <v>0</v>
      </c>
      <c r="D10" s="6">
        <v>0</v>
      </c>
      <c r="E10" s="6">
        <v>0</v>
      </c>
      <c r="F10" s="6"/>
      <c r="G10" s="6">
        <v>0</v>
      </c>
      <c r="H10" s="6">
        <v>0</v>
      </c>
      <c r="I10" s="93">
        <v>1800</v>
      </c>
      <c r="J10" s="6" t="s">
        <v>195</v>
      </c>
      <c r="K10" s="6"/>
      <c r="L10" s="6">
        <f>ROUND(I10*RPI,0)</f>
        <v>1854</v>
      </c>
      <c r="M10" s="6">
        <f t="shared" ref="M10:M12" si="1">ROUND(L10*RPI,0)</f>
        <v>1910</v>
      </c>
      <c r="N10" s="6">
        <f t="shared" ref="N10:N12" si="2">ROUND(M10*RPI,0)</f>
        <v>1967</v>
      </c>
    </row>
    <row r="11" spans="2:14" x14ac:dyDescent="0.3">
      <c r="B11" s="5" t="s">
        <v>252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93">
        <v>400</v>
      </c>
      <c r="J11" s="6" t="s">
        <v>195</v>
      </c>
      <c r="K11" s="6"/>
      <c r="L11" s="6">
        <f>ROUND(I11*RPI,0)</f>
        <v>412</v>
      </c>
      <c r="M11" s="6">
        <f t="shared" si="1"/>
        <v>424</v>
      </c>
      <c r="N11" s="6">
        <f t="shared" si="2"/>
        <v>437</v>
      </c>
    </row>
    <row r="12" spans="2:14" x14ac:dyDescent="0.3">
      <c r="B12" s="5" t="s">
        <v>253</v>
      </c>
      <c r="C12" s="6">
        <v>0</v>
      </c>
      <c r="D12" s="6">
        <v>0</v>
      </c>
      <c r="E12" s="6">
        <v>0</v>
      </c>
      <c r="F12" s="6"/>
      <c r="G12" s="6">
        <v>0</v>
      </c>
      <c r="H12" s="6">
        <v>0</v>
      </c>
      <c r="I12" s="93">
        <v>200</v>
      </c>
      <c r="J12" s="6" t="s">
        <v>195</v>
      </c>
      <c r="K12" s="6"/>
      <c r="L12" s="6">
        <f>ROUND(I12*RPI,0)</f>
        <v>206</v>
      </c>
      <c r="M12" s="6">
        <f t="shared" si="1"/>
        <v>212</v>
      </c>
      <c r="N12" s="6">
        <f t="shared" si="2"/>
        <v>218</v>
      </c>
    </row>
    <row r="13" spans="2:14" s="1" customFormat="1" x14ac:dyDescent="0.3">
      <c r="B13" s="2" t="s">
        <v>32</v>
      </c>
      <c r="C13" s="7">
        <v>0</v>
      </c>
      <c r="D13" s="7">
        <v>0</v>
      </c>
      <c r="E13" s="7">
        <v>0</v>
      </c>
      <c r="F13" s="7"/>
      <c r="G13" s="7">
        <v>0</v>
      </c>
      <c r="H13" s="7">
        <v>0</v>
      </c>
      <c r="I13" s="7">
        <f>SUM(I10:I12)</f>
        <v>2400</v>
      </c>
      <c r="J13" s="6" t="s">
        <v>195</v>
      </c>
      <c r="K13" s="7"/>
      <c r="L13" s="7">
        <f>SUM(L10:L12)</f>
        <v>2472</v>
      </c>
      <c r="M13" s="7">
        <f>SUM(M10:M12)</f>
        <v>2546</v>
      </c>
      <c r="N13" s="7">
        <f>SUM(N10:N12)</f>
        <v>2622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5" t="s">
        <v>117</v>
      </c>
      <c r="C15" s="6">
        <v>600</v>
      </c>
      <c r="D15" s="6">
        <v>575</v>
      </c>
      <c r="E15" s="6">
        <v>618</v>
      </c>
      <c r="F15" s="6"/>
      <c r="G15" s="6">
        <v>618</v>
      </c>
      <c r="H15" s="6">
        <f>G15*700000/737428</f>
        <v>586.63354252889769</v>
      </c>
      <c r="I15" s="93">
        <v>2900</v>
      </c>
      <c r="J15" s="49">
        <f>IFERROR(I15/E15,"N/A")</f>
        <v>4.6925566343042071</v>
      </c>
      <c r="K15" s="6"/>
      <c r="L15" s="6">
        <f>ROUND(I15*RPI,0)</f>
        <v>2987</v>
      </c>
      <c r="M15" s="6">
        <f t="shared" ref="M15:N18" si="3">ROUND(L15*RPI,0)</f>
        <v>3077</v>
      </c>
      <c r="N15" s="6">
        <f t="shared" si="3"/>
        <v>3169</v>
      </c>
    </row>
    <row r="16" spans="2:14" x14ac:dyDescent="0.3">
      <c r="B16" s="37" t="s">
        <v>118</v>
      </c>
      <c r="C16" s="17">
        <v>0</v>
      </c>
      <c r="D16" s="17">
        <v>0</v>
      </c>
      <c r="E16" s="17">
        <v>0</v>
      </c>
      <c r="F16" s="17"/>
      <c r="G16" s="17">
        <v>0</v>
      </c>
      <c r="H16" s="17">
        <v>1800</v>
      </c>
      <c r="I16" s="94">
        <f>ROUND(H16*RPI,0)</f>
        <v>1854</v>
      </c>
      <c r="J16" s="52" t="str">
        <f>IFERROR(I16/E16,"N/A")</f>
        <v>N/A</v>
      </c>
      <c r="K16" s="6"/>
      <c r="L16" s="6">
        <f>ROUND(I16*RPI,0)</f>
        <v>1910</v>
      </c>
      <c r="M16" s="6">
        <f t="shared" si="3"/>
        <v>1967</v>
      </c>
      <c r="N16" s="6">
        <f t="shared" si="3"/>
        <v>2026</v>
      </c>
    </row>
    <row r="17" spans="2:16" x14ac:dyDescent="0.3">
      <c r="B17" s="37" t="s">
        <v>276</v>
      </c>
      <c r="C17" s="17"/>
      <c r="D17" s="17"/>
      <c r="E17" s="17"/>
      <c r="F17" s="17"/>
      <c r="G17" s="17"/>
      <c r="H17" s="17"/>
      <c r="I17" s="94">
        <v>10</v>
      </c>
      <c r="J17" s="52"/>
      <c r="K17" s="6"/>
      <c r="L17" s="6">
        <v>10</v>
      </c>
      <c r="M17" s="6">
        <v>10</v>
      </c>
      <c r="N17" s="6">
        <v>10</v>
      </c>
    </row>
    <row r="18" spans="2:16" x14ac:dyDescent="0.3">
      <c r="B18" s="12" t="s">
        <v>16</v>
      </c>
      <c r="C18" s="13">
        <v>4800</v>
      </c>
      <c r="D18" s="13">
        <v>4604</v>
      </c>
      <c r="E18" s="13">
        <v>4944</v>
      </c>
      <c r="F18" s="13"/>
      <c r="G18" s="13">
        <v>4944</v>
      </c>
      <c r="H18" s="13">
        <f>G18*700000/737428</f>
        <v>4693.0683402311815</v>
      </c>
      <c r="I18" s="13">
        <v>0</v>
      </c>
      <c r="J18" s="13"/>
      <c r="K18" s="13" t="s">
        <v>120</v>
      </c>
      <c r="L18" s="13">
        <f>ROUND(I18*RPI,0)</f>
        <v>0</v>
      </c>
      <c r="M18" s="13">
        <f t="shared" si="3"/>
        <v>0</v>
      </c>
      <c r="N18" s="13">
        <f t="shared" si="3"/>
        <v>0</v>
      </c>
    </row>
    <row r="19" spans="2:16" x14ac:dyDescent="0.3">
      <c r="B19" s="12" t="s">
        <v>57</v>
      </c>
      <c r="C19" s="13">
        <v>200</v>
      </c>
      <c r="D19" s="13">
        <v>192</v>
      </c>
      <c r="E19" s="13">
        <v>206</v>
      </c>
      <c r="F19" s="13"/>
      <c r="G19" s="13">
        <v>206</v>
      </c>
      <c r="H19" s="13">
        <f>G19*700000/737428</f>
        <v>195.54451417629926</v>
      </c>
      <c r="I19" s="13">
        <v>0</v>
      </c>
      <c r="J19" s="13"/>
      <c r="K19" s="13" t="s">
        <v>121</v>
      </c>
      <c r="L19" s="13">
        <v>0</v>
      </c>
      <c r="M19" s="13">
        <v>0</v>
      </c>
      <c r="N19" s="13">
        <v>0</v>
      </c>
    </row>
    <row r="20" spans="2:16" s="1" customFormat="1" x14ac:dyDescent="0.3">
      <c r="B20" s="2" t="s">
        <v>32</v>
      </c>
      <c r="C20" s="7">
        <f t="shared" ref="C20:I20" si="4">SUM(C15:C19)</f>
        <v>5600</v>
      </c>
      <c r="D20" s="7">
        <f t="shared" si="4"/>
        <v>5371</v>
      </c>
      <c r="E20" s="7">
        <f t="shared" si="4"/>
        <v>5768</v>
      </c>
      <c r="F20" s="7">
        <f t="shared" si="4"/>
        <v>0</v>
      </c>
      <c r="G20" s="7">
        <f t="shared" si="4"/>
        <v>5768</v>
      </c>
      <c r="H20" s="7">
        <f t="shared" si="4"/>
        <v>7275.246396936378</v>
      </c>
      <c r="I20" s="7">
        <f t="shared" si="4"/>
        <v>4764</v>
      </c>
      <c r="J20" s="50">
        <f>IFERROR(I20/E20,"N/A")</f>
        <v>0.82593619972260746</v>
      </c>
      <c r="K20" s="7"/>
      <c r="L20" s="7">
        <f>SUM(L15:L19)</f>
        <v>4907</v>
      </c>
      <c r="M20" s="7">
        <f>SUM(M15:M19)</f>
        <v>5054</v>
      </c>
      <c r="N20" s="7">
        <f>SUM(N15:N19)</f>
        <v>5205</v>
      </c>
    </row>
    <row r="21" spans="2:16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6" x14ac:dyDescent="0.3">
      <c r="B22" s="5" t="s">
        <v>235</v>
      </c>
      <c r="C22" s="6">
        <v>0</v>
      </c>
      <c r="D22" s="6">
        <v>0</v>
      </c>
      <c r="E22" s="6">
        <v>0</v>
      </c>
      <c r="F22" s="6"/>
      <c r="G22" s="6">
        <v>0</v>
      </c>
      <c r="H22" s="6"/>
      <c r="I22" s="91">
        <v>3586</v>
      </c>
      <c r="J22" s="6"/>
      <c r="K22" s="6"/>
      <c r="L22" s="6">
        <v>4755</v>
      </c>
      <c r="M22" s="6">
        <v>3611</v>
      </c>
      <c r="N22" s="6">
        <v>7880</v>
      </c>
    </row>
    <row r="23" spans="2:16" x14ac:dyDescent="0.3">
      <c r="B23" s="5" t="s">
        <v>191</v>
      </c>
      <c r="C23" s="6">
        <v>37700</v>
      </c>
      <c r="D23" s="6"/>
      <c r="E23" s="6">
        <v>37700</v>
      </c>
      <c r="F23" s="6"/>
      <c r="G23" s="6">
        <v>37700</v>
      </c>
      <c r="H23" s="17"/>
      <c r="I23" s="94">
        <f>ROUND(G23*RPI,0)</f>
        <v>38831</v>
      </c>
      <c r="J23" s="49">
        <f>IFERROR(I23/E23,"N/A")</f>
        <v>1.03</v>
      </c>
      <c r="K23" s="6" t="s">
        <v>245</v>
      </c>
      <c r="L23" s="6">
        <f>ROUND(I23*RPI,0)</f>
        <v>39996</v>
      </c>
      <c r="M23" s="6">
        <f>ROUND(L23*RPI,0)</f>
        <v>41196</v>
      </c>
      <c r="N23" s="6">
        <f>ROUND(M23*RPI,0)</f>
        <v>42432</v>
      </c>
      <c r="P23" s="24"/>
    </row>
    <row r="24" spans="2:16" x14ac:dyDescent="0.3">
      <c r="B24" s="5" t="s">
        <v>119</v>
      </c>
      <c r="C24" s="6">
        <v>23000</v>
      </c>
      <c r="D24" s="6"/>
      <c r="E24" s="6">
        <v>23000</v>
      </c>
      <c r="F24" s="6"/>
      <c r="G24" s="6">
        <v>23000</v>
      </c>
      <c r="H24" s="17"/>
      <c r="I24" s="94">
        <f>ROUND(G24*RPI,0)</f>
        <v>23690</v>
      </c>
      <c r="J24" s="49">
        <f>IFERROR(I24/E24,"N/A")</f>
        <v>1.03</v>
      </c>
      <c r="K24" s="6" t="s">
        <v>246</v>
      </c>
      <c r="L24" s="6">
        <f>ROUND(I24*RPI,0)</f>
        <v>24401</v>
      </c>
      <c r="M24" s="6">
        <f>ROUND(L24*RPI,0)</f>
        <v>25133</v>
      </c>
      <c r="N24" s="6">
        <f>ROUND(M24*RPI,0)</f>
        <v>25887</v>
      </c>
    </row>
    <row r="25" spans="2:16" s="1" customFormat="1" x14ac:dyDescent="0.3">
      <c r="B25" s="2" t="s">
        <v>32</v>
      </c>
      <c r="C25" s="7">
        <f t="shared" ref="C25:I25" si="5">SUM(C21:C24)</f>
        <v>60700</v>
      </c>
      <c r="D25" s="7">
        <f t="shared" si="5"/>
        <v>0</v>
      </c>
      <c r="E25" s="7">
        <f t="shared" si="5"/>
        <v>60700</v>
      </c>
      <c r="F25" s="7">
        <f t="shared" si="5"/>
        <v>0</v>
      </c>
      <c r="G25" s="7">
        <f t="shared" si="5"/>
        <v>60700</v>
      </c>
      <c r="H25" s="7">
        <f t="shared" si="5"/>
        <v>0</v>
      </c>
      <c r="I25" s="7">
        <f t="shared" si="5"/>
        <v>66107</v>
      </c>
      <c r="J25" s="50">
        <f>IFERROR(I25/E25,"N/A")</f>
        <v>1.0890774299835255</v>
      </c>
      <c r="K25" s="7"/>
      <c r="L25" s="7">
        <f>SUM(L21:L24)</f>
        <v>69152</v>
      </c>
      <c r="M25" s="7">
        <f>SUM(M21:M24)</f>
        <v>69940</v>
      </c>
      <c r="N25" s="7">
        <f>SUM(N21:N24)</f>
        <v>76199</v>
      </c>
    </row>
    <row r="26" spans="2:16" x14ac:dyDescent="0.3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6" x14ac:dyDescent="0.3">
      <c r="B27" s="5" t="s">
        <v>192</v>
      </c>
      <c r="C27" s="6">
        <v>0</v>
      </c>
      <c r="D27" s="6"/>
      <c r="E27" s="6">
        <v>0</v>
      </c>
      <c r="F27" s="6">
        <v>20000</v>
      </c>
      <c r="G27" s="6">
        <v>20000</v>
      </c>
      <c r="H27" s="6">
        <v>22796</v>
      </c>
      <c r="I27" s="91">
        <f>'CTax Options'!M17-'CTax Options'!N17</f>
        <v>5500</v>
      </c>
      <c r="J27" s="49" t="str">
        <f>IFERROR(I27/E27,"N/A")</f>
        <v>N/A</v>
      </c>
      <c r="K27" s="6"/>
      <c r="L27" s="6">
        <v>20000</v>
      </c>
      <c r="M27" s="6">
        <v>20000</v>
      </c>
      <c r="N27" s="6">
        <v>20000</v>
      </c>
    </row>
    <row r="28" spans="2:16" s="1" customFormat="1" x14ac:dyDescent="0.3">
      <c r="B28" s="2" t="s">
        <v>32</v>
      </c>
      <c r="C28" s="7">
        <f t="shared" ref="C28:I28" si="6">SUM(C26:C27)</f>
        <v>0</v>
      </c>
      <c r="D28" s="7">
        <f t="shared" si="6"/>
        <v>0</v>
      </c>
      <c r="E28" s="7">
        <f t="shared" si="6"/>
        <v>0</v>
      </c>
      <c r="F28" s="7">
        <f t="shared" si="6"/>
        <v>20000</v>
      </c>
      <c r="G28" s="7">
        <f t="shared" si="6"/>
        <v>20000</v>
      </c>
      <c r="H28" s="7">
        <f t="shared" si="6"/>
        <v>22796</v>
      </c>
      <c r="I28" s="7">
        <f t="shared" si="6"/>
        <v>5500</v>
      </c>
      <c r="J28" s="50" t="str">
        <f>IFERROR(I28/E28,"N/A")</f>
        <v>N/A</v>
      </c>
      <c r="K28" s="7"/>
      <c r="L28" s="7">
        <f>SUM(L26:L27)</f>
        <v>20000</v>
      </c>
      <c r="M28" s="7">
        <f>SUM(M26:M27)</f>
        <v>20000</v>
      </c>
      <c r="N28" s="7">
        <f>SUM(N26:N27)</f>
        <v>20000</v>
      </c>
    </row>
    <row r="29" spans="2:16" s="1" customFormat="1" x14ac:dyDescent="0.3">
      <c r="B29" s="2"/>
      <c r="C29" s="7"/>
      <c r="D29" s="7"/>
      <c r="E29" s="7"/>
      <c r="F29" s="7"/>
      <c r="G29" s="7"/>
      <c r="H29" s="7"/>
      <c r="I29" s="7"/>
      <c r="J29" s="50"/>
      <c r="K29" s="7"/>
      <c r="L29" s="7"/>
      <c r="M29" s="7"/>
      <c r="N29" s="7"/>
    </row>
    <row r="30" spans="2:16" s="27" customFormat="1" x14ac:dyDescent="0.3">
      <c r="B30" s="9" t="s">
        <v>194</v>
      </c>
      <c r="C30" s="26">
        <v>0</v>
      </c>
      <c r="D30" s="26">
        <v>11385</v>
      </c>
      <c r="E30" s="26">
        <v>0</v>
      </c>
      <c r="F30" s="26"/>
      <c r="G30" s="26">
        <v>0</v>
      </c>
      <c r="H30" s="26">
        <v>0</v>
      </c>
      <c r="I30" s="26">
        <v>0</v>
      </c>
      <c r="J30" s="55" t="s">
        <v>195</v>
      </c>
      <c r="K30" s="26"/>
      <c r="L30" s="26">
        <v>0</v>
      </c>
      <c r="M30" s="26">
        <v>0</v>
      </c>
      <c r="N30" s="26">
        <v>0</v>
      </c>
    </row>
    <row r="31" spans="2:16" s="27" customFormat="1" x14ac:dyDescent="0.3">
      <c r="B31" s="9" t="s">
        <v>199</v>
      </c>
      <c r="C31" s="26">
        <v>0</v>
      </c>
      <c r="D31" s="26">
        <v>71</v>
      </c>
      <c r="E31" s="26">
        <v>0</v>
      </c>
      <c r="F31" s="26"/>
      <c r="G31" s="26">
        <v>0</v>
      </c>
      <c r="H31" s="26">
        <v>0</v>
      </c>
      <c r="I31" s="26">
        <v>0</v>
      </c>
      <c r="J31" s="55" t="s">
        <v>195</v>
      </c>
      <c r="K31" s="26"/>
      <c r="L31" s="26">
        <v>0</v>
      </c>
      <c r="M31" s="26">
        <v>0</v>
      </c>
      <c r="N31" s="26">
        <v>0</v>
      </c>
    </row>
    <row r="32" spans="2:16" s="1" customFormat="1" x14ac:dyDescent="0.3">
      <c r="B32" s="2" t="s">
        <v>32</v>
      </c>
      <c r="C32" s="7">
        <v>0</v>
      </c>
      <c r="D32" s="7">
        <f>SUM(D30:D31)</f>
        <v>11456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0" t="str">
        <f>IFERROR(I32/E32,"N/A")</f>
        <v>N/A</v>
      </c>
      <c r="K32" s="7"/>
      <c r="L32" s="7">
        <v>0</v>
      </c>
      <c r="M32" s="7">
        <v>0</v>
      </c>
      <c r="N32" s="7">
        <v>0</v>
      </c>
    </row>
    <row r="33" spans="2:14" x14ac:dyDescent="0.3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s="1" customFormat="1" x14ac:dyDescent="0.3">
      <c r="B34" s="2" t="s">
        <v>35</v>
      </c>
      <c r="C34" s="7">
        <f t="shared" ref="C34:I34" si="7">0.5*SUM(C5:C33)</f>
        <v>66300</v>
      </c>
      <c r="D34" s="7">
        <f t="shared" si="7"/>
        <v>16827</v>
      </c>
      <c r="E34" s="7">
        <f t="shared" si="7"/>
        <v>69068</v>
      </c>
      <c r="F34" s="7">
        <f t="shared" si="7"/>
        <v>20000</v>
      </c>
      <c r="G34" s="7">
        <f t="shared" si="7"/>
        <v>89068</v>
      </c>
      <c r="H34" s="7">
        <f t="shared" si="7"/>
        <v>32671.246396936378</v>
      </c>
      <c r="I34" s="7">
        <f t="shared" si="7"/>
        <v>81449</v>
      </c>
      <c r="J34" s="50">
        <f>IFERROR(I34/E34,"N/A")</f>
        <v>1.1792581224300689</v>
      </c>
      <c r="K34" s="7"/>
      <c r="L34" s="7">
        <f>0.5*SUM(L5:L33)</f>
        <v>99289</v>
      </c>
      <c r="M34" s="7">
        <f>0.5*SUM(M5:M33)</f>
        <v>100380</v>
      </c>
      <c r="N34" s="7">
        <f>0.5*SUM(N5:N33)</f>
        <v>106952</v>
      </c>
    </row>
    <row r="35" spans="2:14" x14ac:dyDescent="0.3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3">
      <c r="B36" s="34" t="s">
        <v>162</v>
      </c>
      <c r="C36" s="35">
        <v>-8800</v>
      </c>
      <c r="D36" s="35">
        <v>0</v>
      </c>
      <c r="E36" s="35">
        <v>-6300</v>
      </c>
      <c r="F36" s="35"/>
      <c r="G36" s="35">
        <v>-6300</v>
      </c>
      <c r="H36" s="35">
        <v>0</v>
      </c>
      <c r="I36" s="35">
        <v>0</v>
      </c>
      <c r="J36" s="35"/>
      <c r="K36" s="35" t="s">
        <v>163</v>
      </c>
      <c r="L36" s="35">
        <v>0</v>
      </c>
      <c r="M36" s="35">
        <v>0</v>
      </c>
      <c r="N36" s="35">
        <v>0</v>
      </c>
    </row>
    <row r="37" spans="2:14" x14ac:dyDescent="0.3">
      <c r="B37" s="5" t="s">
        <v>56</v>
      </c>
      <c r="C37" s="6">
        <v>0</v>
      </c>
      <c r="D37" s="6">
        <v>-50</v>
      </c>
      <c r="E37" s="6">
        <v>-50</v>
      </c>
      <c r="F37" s="6"/>
      <c r="G37" s="6">
        <v>-50</v>
      </c>
      <c r="H37" s="6">
        <v>-50</v>
      </c>
      <c r="I37" s="90">
        <v>-50</v>
      </c>
      <c r="J37" s="49">
        <f>IFERROR(I37/E37,"N/A")</f>
        <v>1</v>
      </c>
      <c r="K37" s="6"/>
      <c r="L37" s="6">
        <v>-50</v>
      </c>
      <c r="M37" s="6">
        <v>-50</v>
      </c>
      <c r="N37" s="6">
        <v>-50</v>
      </c>
    </row>
    <row r="38" spans="2:14" x14ac:dyDescent="0.3">
      <c r="B38" s="5" t="s">
        <v>122</v>
      </c>
      <c r="C38" s="6">
        <v>-1000</v>
      </c>
      <c r="D38" s="6">
        <v>0</v>
      </c>
      <c r="E38" s="6">
        <v>-1000</v>
      </c>
      <c r="F38" s="6"/>
      <c r="G38" s="6">
        <v>-1000</v>
      </c>
      <c r="H38" s="6">
        <v>-1000</v>
      </c>
      <c r="I38" s="90">
        <v>-1000</v>
      </c>
      <c r="J38" s="49">
        <f>IFERROR(I38/E38,"N/A")</f>
        <v>1</v>
      </c>
      <c r="K38" s="6"/>
      <c r="L38" s="6">
        <v>-1000</v>
      </c>
      <c r="M38" s="6">
        <v>-1000</v>
      </c>
      <c r="N38" s="6">
        <v>-1000</v>
      </c>
    </row>
    <row r="39" spans="2:14" x14ac:dyDescent="0.3">
      <c r="B39" s="5" t="s">
        <v>275</v>
      </c>
      <c r="C39" s="6"/>
      <c r="D39" s="6"/>
      <c r="E39" s="6"/>
      <c r="F39" s="6"/>
      <c r="G39" s="6"/>
      <c r="H39" s="6"/>
      <c r="I39" s="17">
        <v>-2</v>
      </c>
      <c r="J39" s="49"/>
      <c r="K39" s="6"/>
      <c r="L39" s="6">
        <v>-2</v>
      </c>
      <c r="M39" s="6">
        <v>-2</v>
      </c>
      <c r="N39" s="6">
        <v>-2</v>
      </c>
    </row>
    <row r="40" spans="2:14" x14ac:dyDescent="0.3">
      <c r="B40" s="5"/>
      <c r="C40" s="6"/>
      <c r="D40" s="6"/>
      <c r="E40" s="6"/>
      <c r="F40" s="6"/>
      <c r="G40" s="6"/>
      <c r="H40" s="6"/>
      <c r="I40" s="6"/>
      <c r="J40" s="49"/>
      <c r="K40" s="6"/>
      <c r="L40" s="6"/>
      <c r="M40" s="6"/>
      <c r="N40" s="6"/>
    </row>
    <row r="41" spans="2:14" x14ac:dyDescent="0.3">
      <c r="B41" s="5" t="s">
        <v>196</v>
      </c>
      <c r="C41" s="6"/>
      <c r="D41" s="6"/>
      <c r="E41" s="6"/>
      <c r="F41" s="6"/>
      <c r="G41" s="6"/>
      <c r="H41" s="6"/>
      <c r="I41" s="6"/>
      <c r="J41" s="49"/>
      <c r="K41" s="6"/>
      <c r="L41" s="6"/>
      <c r="M41" s="6"/>
      <c r="N41" s="6"/>
    </row>
    <row r="42" spans="2:14" x14ac:dyDescent="0.3">
      <c r="B42" s="5" t="s">
        <v>197</v>
      </c>
      <c r="C42" s="6">
        <v>0</v>
      </c>
      <c r="D42" s="6">
        <v>-1000</v>
      </c>
      <c r="E42" s="6">
        <v>0</v>
      </c>
      <c r="F42" s="6"/>
      <c r="G42" s="6">
        <v>0</v>
      </c>
      <c r="H42" s="6">
        <v>0</v>
      </c>
      <c r="I42" s="6">
        <v>0</v>
      </c>
      <c r="J42" s="49"/>
      <c r="K42" s="6"/>
      <c r="L42" s="6">
        <v>0</v>
      </c>
      <c r="M42" s="6">
        <v>0</v>
      </c>
      <c r="N42" s="6">
        <v>0</v>
      </c>
    </row>
    <row r="43" spans="2:14" x14ac:dyDescent="0.3">
      <c r="B43" s="5" t="s">
        <v>65</v>
      </c>
      <c r="C43" s="6">
        <v>0</v>
      </c>
      <c r="D43" s="6">
        <v>-9480</v>
      </c>
      <c r="E43" s="6">
        <v>0</v>
      </c>
      <c r="F43" s="6"/>
      <c r="G43" s="6">
        <v>0</v>
      </c>
      <c r="H43" s="6">
        <v>0</v>
      </c>
      <c r="I43" s="6">
        <v>0</v>
      </c>
      <c r="J43" s="49"/>
      <c r="K43" s="6"/>
      <c r="L43" s="6">
        <v>0</v>
      </c>
      <c r="M43" s="6">
        <v>0</v>
      </c>
      <c r="N43" s="6">
        <v>0</v>
      </c>
    </row>
    <row r="44" spans="2:14" x14ac:dyDescent="0.3">
      <c r="B44" s="5" t="s">
        <v>234</v>
      </c>
      <c r="C44" s="6">
        <v>0</v>
      </c>
      <c r="D44" s="6">
        <v>-45221</v>
      </c>
      <c r="E44" s="6">
        <v>0</v>
      </c>
      <c r="F44" s="6"/>
      <c r="G44" s="6">
        <v>0</v>
      </c>
      <c r="H44" s="6">
        <v>-17872</v>
      </c>
      <c r="I44" s="6"/>
      <c r="J44" s="49"/>
      <c r="K44" s="6"/>
      <c r="L44" s="6"/>
      <c r="M44" s="6"/>
      <c r="N44" s="6"/>
    </row>
    <row r="45" spans="2:14" x14ac:dyDescent="0.3">
      <c r="B45" s="5" t="s">
        <v>198</v>
      </c>
      <c r="C45" s="6">
        <v>0</v>
      </c>
      <c r="D45" s="6">
        <v>-12720</v>
      </c>
      <c r="E45" s="6">
        <v>0</v>
      </c>
      <c r="F45" s="6"/>
      <c r="G45" s="6">
        <v>0</v>
      </c>
      <c r="H45" s="6">
        <v>0</v>
      </c>
      <c r="I45" s="6">
        <v>0</v>
      </c>
      <c r="J45" s="49"/>
      <c r="K45" s="6"/>
      <c r="L45" s="6">
        <v>0</v>
      </c>
      <c r="M45" s="6">
        <v>0</v>
      </c>
      <c r="N45" s="6">
        <v>0</v>
      </c>
    </row>
    <row r="46" spans="2:14" s="1" customFormat="1" x14ac:dyDescent="0.3">
      <c r="B46" s="2" t="s">
        <v>34</v>
      </c>
      <c r="C46" s="7">
        <f t="shared" ref="C46:I46" si="8">SUM(C36:C45)</f>
        <v>-9800</v>
      </c>
      <c r="D46" s="7">
        <f t="shared" si="8"/>
        <v>-68471</v>
      </c>
      <c r="E46" s="7">
        <f t="shared" si="8"/>
        <v>-7350</v>
      </c>
      <c r="F46" s="7">
        <f t="shared" si="8"/>
        <v>0</v>
      </c>
      <c r="G46" s="7">
        <f t="shared" si="8"/>
        <v>-7350</v>
      </c>
      <c r="H46" s="7">
        <f t="shared" si="8"/>
        <v>-18922</v>
      </c>
      <c r="I46" s="7">
        <f t="shared" si="8"/>
        <v>-1052</v>
      </c>
      <c r="J46" s="50">
        <f>IFERROR(I46/E46,"N/A")</f>
        <v>0.14312925170068028</v>
      </c>
      <c r="K46" s="6"/>
      <c r="L46" s="7">
        <f>SUM(L36:L45)</f>
        <v>-1052</v>
      </c>
      <c r="M46" s="7">
        <f>SUM(M36:M45)</f>
        <v>-1052</v>
      </c>
      <c r="N46" s="7">
        <f>SUM(N36:N45)</f>
        <v>-1052</v>
      </c>
    </row>
    <row r="47" spans="2:14" x14ac:dyDescent="0.3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" customFormat="1" x14ac:dyDescent="0.3">
      <c r="B48" s="2" t="s">
        <v>33</v>
      </c>
      <c r="C48" s="7">
        <f t="shared" ref="C48:I48" si="9">C46+C34</f>
        <v>56500</v>
      </c>
      <c r="D48" s="7">
        <f t="shared" si="9"/>
        <v>-51644</v>
      </c>
      <c r="E48" s="7">
        <f t="shared" si="9"/>
        <v>61718</v>
      </c>
      <c r="F48" s="7">
        <f t="shared" si="9"/>
        <v>20000</v>
      </c>
      <c r="G48" s="7">
        <f t="shared" si="9"/>
        <v>81718</v>
      </c>
      <c r="H48" s="7">
        <f t="shared" si="9"/>
        <v>13749.246396936378</v>
      </c>
      <c r="I48" s="7">
        <f t="shared" si="9"/>
        <v>80397</v>
      </c>
      <c r="J48" s="50">
        <f>IFERROR(I48/E48,"N/A")</f>
        <v>1.3026507663890599</v>
      </c>
      <c r="K48" s="7"/>
      <c r="L48" s="7">
        <f>L46+L34</f>
        <v>98237</v>
      </c>
      <c r="M48" s="7">
        <f>M46+M34</f>
        <v>99328</v>
      </c>
      <c r="N48" s="7">
        <f>N46+N34</f>
        <v>105900</v>
      </c>
    </row>
    <row r="51" spans="16:16" x14ac:dyDescent="0.3">
      <c r="P51" s="24"/>
    </row>
    <row r="53" spans="16:16" x14ac:dyDescent="0.3">
      <c r="P53" s="25"/>
    </row>
    <row r="54" spans="16:16" x14ac:dyDescent="0.3">
      <c r="P54" s="25"/>
    </row>
  </sheetData>
  <pageMargins left="0.7" right="0.7" top="0.75" bottom="0.75" header="0.3" footer="0.3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P21"/>
  <sheetViews>
    <sheetView zoomScaleNormal="100" workbookViewId="0">
      <selection activeCell="B2" sqref="B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3" customWidth="1"/>
    <col min="12" max="14" width="12.21875" customWidth="1"/>
  </cols>
  <sheetData>
    <row r="3" spans="2:14" s="1" customFormat="1" ht="43.2" x14ac:dyDescent="0.3">
      <c r="B3" s="2" t="s">
        <v>265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s="85" customFormat="1" x14ac:dyDescent="0.3">
      <c r="B6" s="15" t="s">
        <v>193</v>
      </c>
      <c r="C6" s="18">
        <v>0</v>
      </c>
      <c r="D6" s="18">
        <v>0</v>
      </c>
      <c r="E6" s="18">
        <v>0</v>
      </c>
      <c r="F6" s="18"/>
      <c r="G6" s="18">
        <v>0</v>
      </c>
      <c r="H6" s="18"/>
      <c r="I6" s="18">
        <v>47367</v>
      </c>
      <c r="J6" s="51" t="s">
        <v>195</v>
      </c>
      <c r="K6" s="18"/>
      <c r="L6" s="18">
        <v>0</v>
      </c>
      <c r="M6" s="18">
        <v>0</v>
      </c>
      <c r="N6" s="18">
        <v>0</v>
      </c>
    </row>
    <row r="7" spans="2:14" s="85" customFormat="1" x14ac:dyDescent="0.3">
      <c r="B7" s="15" t="s">
        <v>257</v>
      </c>
      <c r="C7" s="18">
        <v>0</v>
      </c>
      <c r="D7" s="18">
        <v>0</v>
      </c>
      <c r="E7" s="18">
        <v>0</v>
      </c>
      <c r="F7" s="18"/>
      <c r="G7" s="18">
        <v>0</v>
      </c>
      <c r="H7" s="18"/>
      <c r="I7" s="18">
        <v>59360</v>
      </c>
      <c r="J7" s="51" t="s">
        <v>195</v>
      </c>
      <c r="K7" s="18"/>
      <c r="L7" s="18">
        <v>123143.06</v>
      </c>
      <c r="M7" s="18">
        <v>176081</v>
      </c>
      <c r="N7" s="18">
        <v>176081</v>
      </c>
    </row>
    <row r="8" spans="2:14" s="85" customFormat="1" x14ac:dyDescent="0.3">
      <c r="B8" s="15" t="s">
        <v>273</v>
      </c>
      <c r="C8" s="18">
        <v>0</v>
      </c>
      <c r="D8" s="18">
        <v>0</v>
      </c>
      <c r="E8" s="18">
        <v>0</v>
      </c>
      <c r="F8" s="18"/>
      <c r="G8" s="18">
        <v>0</v>
      </c>
      <c r="H8" s="18"/>
      <c r="I8" s="18">
        <v>116721</v>
      </c>
      <c r="J8" s="51" t="s">
        <v>195</v>
      </c>
      <c r="K8" s="18"/>
      <c r="L8" s="18">
        <v>52938</v>
      </c>
      <c r="M8" s="18">
        <v>0</v>
      </c>
      <c r="N8" s="18">
        <v>0</v>
      </c>
    </row>
    <row r="9" spans="2:14" s="1" customFormat="1" x14ac:dyDescent="0.3">
      <c r="B9" s="2" t="s">
        <v>32</v>
      </c>
      <c r="C9" s="7">
        <f t="shared" ref="C9:G9" si="0">SUM(C6:C6)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>SUM(H6:H6)</f>
        <v>0</v>
      </c>
      <c r="I9" s="7">
        <f>SUM(I6:I8)</f>
        <v>223448</v>
      </c>
      <c r="J9" s="50" t="str">
        <f>IFERROR(I9/E9,"N/A")</f>
        <v>N/A</v>
      </c>
      <c r="K9" s="7"/>
      <c r="L9" s="7">
        <f>SUM(L6:L8)</f>
        <v>176081.06</v>
      </c>
      <c r="M9" s="7">
        <f>SUM(M6:M8)</f>
        <v>176081</v>
      </c>
      <c r="N9" s="7">
        <f>SUM(N6:N8)</f>
        <v>176081</v>
      </c>
    </row>
    <row r="10" spans="2:14" s="1" customFormat="1" x14ac:dyDescent="0.3">
      <c r="B10" s="2"/>
      <c r="C10" s="7"/>
      <c r="D10" s="7"/>
      <c r="E10" s="7"/>
      <c r="F10" s="7"/>
      <c r="G10" s="7"/>
      <c r="H10" s="7"/>
      <c r="I10" s="7"/>
      <c r="J10" s="50"/>
      <c r="K10" s="7"/>
      <c r="L10" s="7"/>
      <c r="M10" s="7"/>
      <c r="N10" s="7"/>
    </row>
    <row r="11" spans="2:14" s="1" customFormat="1" x14ac:dyDescent="0.3">
      <c r="B11" s="2" t="s">
        <v>35</v>
      </c>
      <c r="C11" s="7">
        <f t="shared" ref="C11:I11" si="1">0.5*SUM(C5:C10)</f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223448</v>
      </c>
      <c r="J11" s="50" t="str">
        <f>IFERROR(I11/E11,"N/A")</f>
        <v>N/A</v>
      </c>
      <c r="K11" s="7"/>
      <c r="L11" s="7">
        <f>0.5*SUM(L5:L10)</f>
        <v>176081.06</v>
      </c>
      <c r="M11" s="7">
        <f>0.5*SUM(M5:M10)</f>
        <v>176081</v>
      </c>
      <c r="N11" s="7">
        <f>0.5*SUM(N5:N10)</f>
        <v>176081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x14ac:dyDescent="0.3">
      <c r="B13" s="2" t="s">
        <v>34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50" t="str">
        <f>IFERROR(I13/E13,"N/A")</f>
        <v>N/A</v>
      </c>
      <c r="K13" s="6"/>
      <c r="L13" s="7">
        <v>0</v>
      </c>
      <c r="M13" s="7">
        <v>0</v>
      </c>
      <c r="N13" s="7">
        <v>0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33</v>
      </c>
      <c r="C15" s="7">
        <f t="shared" ref="C15:I15" si="2">C13+C11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223448</v>
      </c>
      <c r="J15" s="50" t="str">
        <f>IFERROR(I15/E15,"N/A")</f>
        <v>N/A</v>
      </c>
      <c r="K15" s="7"/>
      <c r="L15" s="7">
        <f>L13+L11</f>
        <v>176081.06</v>
      </c>
      <c r="M15" s="7">
        <f>M13+M11</f>
        <v>176081</v>
      </c>
      <c r="N15" s="7">
        <f>N13+N11</f>
        <v>176081</v>
      </c>
    </row>
    <row r="18" spans="16:16" x14ac:dyDescent="0.3">
      <c r="P18" s="24"/>
    </row>
    <row r="20" spans="16:16" x14ac:dyDescent="0.3">
      <c r="P20" s="25"/>
    </row>
    <row r="21" spans="16:16" x14ac:dyDescent="0.3">
      <c r="P21" s="2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3:N23"/>
  <sheetViews>
    <sheetView topLeftCell="A3" workbookViewId="0">
      <selection activeCell="K15" sqref="K15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18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28.8" x14ac:dyDescent="0.3">
      <c r="B6" s="5" t="s">
        <v>79</v>
      </c>
      <c r="C6" s="6">
        <v>0</v>
      </c>
      <c r="D6" s="6"/>
      <c r="E6" s="6">
        <v>0</v>
      </c>
      <c r="F6" s="6"/>
      <c r="G6" s="6">
        <v>0</v>
      </c>
      <c r="H6" s="6"/>
      <c r="I6" s="90">
        <v>0</v>
      </c>
      <c r="J6" s="6"/>
      <c r="K6" s="16" t="s">
        <v>247</v>
      </c>
      <c r="L6" s="6">
        <f t="shared" ref="L6:L11" si="0">I6</f>
        <v>0</v>
      </c>
      <c r="M6" s="6">
        <f t="shared" ref="M6:N11" si="1">L6</f>
        <v>0</v>
      </c>
      <c r="N6" s="6">
        <f t="shared" si="1"/>
        <v>0</v>
      </c>
    </row>
    <row r="7" spans="2:14" x14ac:dyDescent="0.3">
      <c r="B7" s="5" t="s">
        <v>71</v>
      </c>
      <c r="C7" s="6">
        <v>0</v>
      </c>
      <c r="D7" s="6"/>
      <c r="E7" s="6">
        <v>0</v>
      </c>
      <c r="F7" s="6"/>
      <c r="G7" s="6">
        <v>0</v>
      </c>
      <c r="H7" s="6">
        <f>13200*2/3</f>
        <v>8800</v>
      </c>
      <c r="I7" s="90">
        <v>13200</v>
      </c>
      <c r="J7" s="49" t="str">
        <f>IFERROR(I7/E7,"N/A")</f>
        <v>N/A</v>
      </c>
      <c r="K7" s="16"/>
      <c r="L7" s="6">
        <f t="shared" si="0"/>
        <v>13200</v>
      </c>
      <c r="M7" s="6">
        <f t="shared" si="1"/>
        <v>13200</v>
      </c>
      <c r="N7" s="6">
        <f t="shared" si="1"/>
        <v>13200</v>
      </c>
    </row>
    <row r="8" spans="2:14" x14ac:dyDescent="0.3">
      <c r="B8" s="5" t="s">
        <v>123</v>
      </c>
      <c r="C8" s="6">
        <v>0</v>
      </c>
      <c r="D8" s="6"/>
      <c r="E8" s="6">
        <v>0</v>
      </c>
      <c r="F8" s="6"/>
      <c r="G8" s="6">
        <v>0</v>
      </c>
      <c r="H8" s="6">
        <f>1500+875</f>
        <v>2375</v>
      </c>
      <c r="I8" s="90">
        <f>1500+875</f>
        <v>2375</v>
      </c>
      <c r="J8" s="49" t="str">
        <f>IFERROR(I8/E8,"N/A")</f>
        <v>N/A</v>
      </c>
      <c r="K8" s="16"/>
      <c r="L8" s="6">
        <f t="shared" si="0"/>
        <v>2375</v>
      </c>
      <c r="M8" s="6">
        <f t="shared" si="1"/>
        <v>2375</v>
      </c>
      <c r="N8" s="6">
        <f t="shared" si="1"/>
        <v>2375</v>
      </c>
    </row>
    <row r="9" spans="2:14" ht="28.8" x14ac:dyDescent="0.3">
      <c r="B9" s="5" t="s">
        <v>124</v>
      </c>
      <c r="C9" s="6">
        <v>0</v>
      </c>
      <c r="D9" s="6"/>
      <c r="E9" s="6">
        <v>0</v>
      </c>
      <c r="F9" s="6"/>
      <c r="G9" s="6">
        <v>0</v>
      </c>
      <c r="H9" s="6">
        <v>0</v>
      </c>
      <c r="I9" s="91">
        <f>13430+'CTax Options'!M18-'CTax Options'!N18</f>
        <v>13430</v>
      </c>
      <c r="J9" s="49" t="str">
        <f>IFERROR(I9/E9,"N/A")</f>
        <v>N/A</v>
      </c>
      <c r="K9" s="16" t="s">
        <v>129</v>
      </c>
      <c r="L9" s="6">
        <f t="shared" si="0"/>
        <v>13430</v>
      </c>
      <c r="M9" s="6">
        <f t="shared" si="1"/>
        <v>13430</v>
      </c>
      <c r="N9" s="6">
        <f t="shared" si="1"/>
        <v>13430</v>
      </c>
    </row>
    <row r="10" spans="2:14" x14ac:dyDescent="0.3">
      <c r="B10" s="5" t="s">
        <v>125</v>
      </c>
      <c r="C10" s="6">
        <v>0</v>
      </c>
      <c r="D10" s="6"/>
      <c r="E10" s="6">
        <v>0</v>
      </c>
      <c r="F10" s="6"/>
      <c r="G10" s="6">
        <v>0</v>
      </c>
      <c r="H10" s="6">
        <f>ROUND(20020*2/3,0)</f>
        <v>13347</v>
      </c>
      <c r="I10" s="90">
        <v>20020</v>
      </c>
      <c r="J10" s="49" t="str">
        <f>IFERROR(I10/E10,"N/A")</f>
        <v>N/A</v>
      </c>
      <c r="K10" s="6"/>
      <c r="L10" s="6">
        <f t="shared" si="0"/>
        <v>20020</v>
      </c>
      <c r="M10" s="6">
        <f t="shared" si="1"/>
        <v>20020</v>
      </c>
      <c r="N10" s="6">
        <f t="shared" si="1"/>
        <v>20020</v>
      </c>
    </row>
    <row r="11" spans="2:14" x14ac:dyDescent="0.3">
      <c r="B11" s="5" t="s">
        <v>126</v>
      </c>
      <c r="C11" s="6">
        <v>0</v>
      </c>
      <c r="D11" s="6"/>
      <c r="E11" s="6">
        <v>0</v>
      </c>
      <c r="F11" s="6">
        <v>150000</v>
      </c>
      <c r="G11" s="6">
        <v>150000</v>
      </c>
      <c r="H11" s="6">
        <f>180000+2200+1535</f>
        <v>183735</v>
      </c>
      <c r="I11" s="6">
        <v>0</v>
      </c>
      <c r="J11" s="6"/>
      <c r="K11" s="6"/>
      <c r="L11" s="6">
        <f t="shared" si="0"/>
        <v>0</v>
      </c>
      <c r="M11" s="6">
        <f t="shared" si="1"/>
        <v>0</v>
      </c>
      <c r="N11" s="6">
        <f t="shared" si="1"/>
        <v>0</v>
      </c>
    </row>
    <row r="12" spans="2:14" s="1" customFormat="1" x14ac:dyDescent="0.3">
      <c r="B12" s="2" t="s">
        <v>32</v>
      </c>
      <c r="C12" s="7">
        <f t="shared" ref="C12:I12" si="2">SUM(C6:C11)</f>
        <v>0</v>
      </c>
      <c r="D12" s="7">
        <f t="shared" si="2"/>
        <v>0</v>
      </c>
      <c r="E12" s="7">
        <f t="shared" si="2"/>
        <v>0</v>
      </c>
      <c r="F12" s="7">
        <f t="shared" si="2"/>
        <v>150000</v>
      </c>
      <c r="G12" s="7">
        <f t="shared" si="2"/>
        <v>150000</v>
      </c>
      <c r="H12" s="7">
        <f t="shared" si="2"/>
        <v>208257</v>
      </c>
      <c r="I12" s="7">
        <f t="shared" si="2"/>
        <v>49025</v>
      </c>
      <c r="J12" s="50" t="str">
        <f>IFERROR(I12/E12,"N/A")</f>
        <v>N/A</v>
      </c>
      <c r="K12" s="7"/>
      <c r="L12" s="7">
        <f>SUM(L6:L11)</f>
        <v>49025</v>
      </c>
      <c r="M12" s="7">
        <f>SUM(M6:M11)</f>
        <v>49025</v>
      </c>
      <c r="N12" s="7">
        <f>SUM(N6:N11)</f>
        <v>49025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5" t="s">
        <v>38</v>
      </c>
      <c r="C14" s="6">
        <v>0</v>
      </c>
      <c r="D14" s="6"/>
      <c r="E14" s="6">
        <v>0</v>
      </c>
      <c r="F14" s="6"/>
      <c r="G14" s="6">
        <v>0</v>
      </c>
      <c r="H14" s="6">
        <v>0</v>
      </c>
      <c r="I14" s="91">
        <v>1000</v>
      </c>
      <c r="J14" s="49" t="str">
        <f>IFERROR(I14/E14,"N/A")</f>
        <v>N/A</v>
      </c>
      <c r="K14" s="6"/>
      <c r="L14" s="6">
        <v>1000</v>
      </c>
      <c r="M14" s="6">
        <v>1000</v>
      </c>
      <c r="N14" s="6">
        <v>1000</v>
      </c>
    </row>
    <row r="15" spans="2:14" x14ac:dyDescent="0.3">
      <c r="B15" s="5" t="s">
        <v>127</v>
      </c>
      <c r="C15" s="6">
        <v>0</v>
      </c>
      <c r="D15" s="6"/>
      <c r="E15" s="6">
        <v>0</v>
      </c>
      <c r="F15" s="6"/>
      <c r="G15" s="6">
        <v>0</v>
      </c>
      <c r="H15" s="6">
        <v>31011</v>
      </c>
      <c r="I15" s="91">
        <v>1000</v>
      </c>
      <c r="J15" s="49" t="str">
        <f>IFERROR(I15/E15,"N/A")</f>
        <v>N/A</v>
      </c>
      <c r="K15" s="6"/>
      <c r="L15" s="6">
        <v>500</v>
      </c>
      <c r="M15" s="6">
        <v>500</v>
      </c>
      <c r="N15" s="6">
        <v>500</v>
      </c>
    </row>
    <row r="16" spans="2:14" s="1" customFormat="1" x14ac:dyDescent="0.3">
      <c r="B16" s="2" t="s">
        <v>32</v>
      </c>
      <c r="C16" s="7">
        <f t="shared" ref="C16:I16" si="3">SUM(C13:C15)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31011</v>
      </c>
      <c r="I16" s="7">
        <f t="shared" si="3"/>
        <v>2000</v>
      </c>
      <c r="J16" s="50" t="str">
        <f>IFERROR(I16/E16,"N/A")</f>
        <v>N/A</v>
      </c>
      <c r="K16" s="7"/>
      <c r="L16" s="7">
        <f>SUM(L13:L15)</f>
        <v>1500</v>
      </c>
      <c r="M16" s="7">
        <f>SUM(M13:M15)</f>
        <v>1500</v>
      </c>
      <c r="N16" s="7">
        <f>SUM(N13:N15)</f>
        <v>1500</v>
      </c>
    </row>
    <row r="17" spans="2:14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s="1" customFormat="1" x14ac:dyDescent="0.3">
      <c r="B18" s="2" t="s">
        <v>35</v>
      </c>
      <c r="C18" s="7">
        <f t="shared" ref="C18:I18" si="4">0.5*SUM(C5:C17)</f>
        <v>0</v>
      </c>
      <c r="D18" s="7">
        <f t="shared" si="4"/>
        <v>0</v>
      </c>
      <c r="E18" s="7">
        <f t="shared" si="4"/>
        <v>0</v>
      </c>
      <c r="F18" s="7">
        <f t="shared" si="4"/>
        <v>150000</v>
      </c>
      <c r="G18" s="7">
        <f t="shared" si="4"/>
        <v>150000</v>
      </c>
      <c r="H18" s="7">
        <f t="shared" si="4"/>
        <v>239268</v>
      </c>
      <c r="I18" s="7">
        <f t="shared" si="4"/>
        <v>51025</v>
      </c>
      <c r="J18" s="50" t="str">
        <f>IFERROR(I18/E18,"N/A")</f>
        <v>N/A</v>
      </c>
      <c r="K18" s="7"/>
      <c r="L18" s="7">
        <f>0.5*SUM(L5:L17)</f>
        <v>50525</v>
      </c>
      <c r="M18" s="7">
        <f>0.5*SUM(M5:M17)</f>
        <v>50525</v>
      </c>
      <c r="N18" s="7">
        <f>0.5*SUM(N5:N17)</f>
        <v>50525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3">
      <c r="B20" s="5" t="s">
        <v>128</v>
      </c>
      <c r="C20" s="6">
        <v>0</v>
      </c>
      <c r="D20" s="6"/>
      <c r="E20" s="6">
        <v>0</v>
      </c>
      <c r="F20" s="6"/>
      <c r="G20" s="17">
        <v>-1900</v>
      </c>
      <c r="H20" s="6">
        <v>-1900</v>
      </c>
      <c r="I20" s="94">
        <f>ROUND(G20*RPI,0)</f>
        <v>-1957</v>
      </c>
      <c r="J20" s="49" t="str">
        <f>IFERROR(I20/E20,"N/A")</f>
        <v>N/A</v>
      </c>
      <c r="K20" s="6"/>
      <c r="L20" s="6">
        <f>ROUND(I20*RPI,0)</f>
        <v>-2016</v>
      </c>
      <c r="M20" s="6">
        <f>ROUND(L20*RPI,0)</f>
        <v>-2076</v>
      </c>
      <c r="N20" s="6">
        <f>ROUND(M20*RPI,0)</f>
        <v>-2138</v>
      </c>
    </row>
    <row r="21" spans="2:14" s="1" customFormat="1" x14ac:dyDescent="0.3">
      <c r="B21" s="2" t="s">
        <v>34</v>
      </c>
      <c r="C21" s="7">
        <f t="shared" ref="C21:I21" si="5">SUM(C20:C20)</f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-1900</v>
      </c>
      <c r="H21" s="7">
        <f t="shared" si="5"/>
        <v>-1900</v>
      </c>
      <c r="I21" s="7">
        <f t="shared" si="5"/>
        <v>-1957</v>
      </c>
      <c r="J21" s="50" t="str">
        <f>IFERROR(I21/E21,"N/A")</f>
        <v>N/A</v>
      </c>
      <c r="K21" s="7"/>
      <c r="L21" s="7">
        <f>SUM(L20:L20)</f>
        <v>-2016</v>
      </c>
      <c r="M21" s="7">
        <f>SUM(M20:M20)</f>
        <v>-2076</v>
      </c>
      <c r="N21" s="7">
        <f>SUM(N20:N20)</f>
        <v>-2138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s="1" customFormat="1" x14ac:dyDescent="0.3">
      <c r="B23" s="2" t="s">
        <v>33</v>
      </c>
      <c r="C23" s="7">
        <f t="shared" ref="C23:I23" si="6">C21+C18</f>
        <v>0</v>
      </c>
      <c r="D23" s="7">
        <f t="shared" si="6"/>
        <v>0</v>
      </c>
      <c r="E23" s="7">
        <f t="shared" si="6"/>
        <v>0</v>
      </c>
      <c r="F23" s="7">
        <f t="shared" si="6"/>
        <v>150000</v>
      </c>
      <c r="G23" s="7">
        <f t="shared" si="6"/>
        <v>148100</v>
      </c>
      <c r="H23" s="7">
        <f t="shared" si="6"/>
        <v>237368</v>
      </c>
      <c r="I23" s="7">
        <f t="shared" si="6"/>
        <v>49068</v>
      </c>
      <c r="J23" s="50" t="str">
        <f>IFERROR(I23/E23,"N/A")</f>
        <v>N/A</v>
      </c>
      <c r="K23" s="7"/>
      <c r="L23" s="7">
        <f>L21+L18</f>
        <v>48509</v>
      </c>
      <c r="M23" s="7">
        <f>M21+M18</f>
        <v>48449</v>
      </c>
      <c r="N23" s="7">
        <f>N21+N18</f>
        <v>48387</v>
      </c>
    </row>
  </sheetData>
  <pageMargins left="0.7" right="0.7" top="0.75" bottom="0.75" header="0.3" footer="0.3"/>
  <pageSetup paperSize="9" scale="6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3:N34"/>
  <sheetViews>
    <sheetView topLeftCell="C10" workbookViewId="0">
      <selection activeCell="I34" sqref="I34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19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79</v>
      </c>
      <c r="C6" s="6">
        <v>37920</v>
      </c>
      <c r="D6" s="6">
        <v>0</v>
      </c>
      <c r="E6" s="6">
        <v>20000</v>
      </c>
      <c r="F6" s="6"/>
      <c r="G6" s="6">
        <v>20000</v>
      </c>
      <c r="H6" s="6">
        <v>0</v>
      </c>
      <c r="I6" s="91">
        <v>20000</v>
      </c>
      <c r="J6" s="49">
        <f>IFERROR(I6/E6,"N/A")</f>
        <v>1</v>
      </c>
      <c r="K6" s="6"/>
      <c r="L6" s="6">
        <v>20000</v>
      </c>
      <c r="M6" s="6">
        <v>20000</v>
      </c>
      <c r="N6" s="6">
        <v>20000</v>
      </c>
    </row>
    <row r="7" spans="2:14" x14ac:dyDescent="0.3">
      <c r="B7" s="5" t="s">
        <v>130</v>
      </c>
      <c r="C7" s="6">
        <v>0</v>
      </c>
      <c r="D7" s="6">
        <v>1530</v>
      </c>
      <c r="E7" s="6">
        <v>1576</v>
      </c>
      <c r="F7" s="6"/>
      <c r="G7" s="6">
        <v>1576</v>
      </c>
      <c r="H7" s="6">
        <v>1300</v>
      </c>
      <c r="I7" s="94">
        <f>ROUND(G7*RPI,0)</f>
        <v>1623</v>
      </c>
      <c r="J7" s="49">
        <f>IFERROR(I7/E7,"N/A")</f>
        <v>1.0298223350253808</v>
      </c>
      <c r="K7" s="6"/>
      <c r="L7" s="6">
        <f>ROUND(I7*RPI,0)</f>
        <v>1672</v>
      </c>
      <c r="M7" s="6">
        <f>ROUND(L7*RPI,0)</f>
        <v>1722</v>
      </c>
      <c r="N7" s="6">
        <f>ROUND(M7*RPI,0)</f>
        <v>1774</v>
      </c>
    </row>
    <row r="8" spans="2:14" x14ac:dyDescent="0.3">
      <c r="B8" s="5" t="s">
        <v>42</v>
      </c>
      <c r="C8" s="6">
        <v>0</v>
      </c>
      <c r="D8" s="6">
        <v>0</v>
      </c>
      <c r="E8" s="6">
        <v>0</v>
      </c>
      <c r="F8" s="6"/>
      <c r="G8" s="6">
        <v>0</v>
      </c>
      <c r="H8" s="6"/>
      <c r="I8" s="94">
        <f>ROUND(1900+G9*RPI,0)</f>
        <v>2003</v>
      </c>
      <c r="J8" s="49" t="str">
        <f>IFERROR(I8/E8,"N/A")</f>
        <v>N/A</v>
      </c>
      <c r="K8" s="6"/>
      <c r="L8" s="6">
        <f>ROUND(I8*RPI,0)</f>
        <v>2063</v>
      </c>
      <c r="M8" s="6">
        <f>ROUND(L8*RPI,0)</f>
        <v>2125</v>
      </c>
      <c r="N8" s="6">
        <f>ROUND(M8*RPI,0)</f>
        <v>2189</v>
      </c>
    </row>
    <row r="9" spans="2:14" x14ac:dyDescent="0.3">
      <c r="B9" s="12" t="s">
        <v>43</v>
      </c>
      <c r="C9" s="13">
        <v>100</v>
      </c>
      <c r="D9" s="13">
        <v>0</v>
      </c>
      <c r="E9" s="13">
        <v>100</v>
      </c>
      <c r="F9" s="13"/>
      <c r="G9" s="13">
        <v>100</v>
      </c>
      <c r="H9" s="13"/>
      <c r="I9" s="13">
        <v>0</v>
      </c>
      <c r="J9" s="13"/>
      <c r="K9" s="13" t="s">
        <v>101</v>
      </c>
      <c r="L9" s="13">
        <v>0</v>
      </c>
      <c r="M9" s="13">
        <v>0</v>
      </c>
      <c r="N9" s="13">
        <v>0</v>
      </c>
    </row>
    <row r="10" spans="2:14" x14ac:dyDescent="0.3">
      <c r="B10" s="12" t="s">
        <v>41</v>
      </c>
      <c r="C10" s="13">
        <v>16000</v>
      </c>
      <c r="D10" s="13">
        <v>0</v>
      </c>
      <c r="E10" s="13">
        <v>16000</v>
      </c>
      <c r="F10" s="13"/>
      <c r="G10" s="13">
        <v>16000</v>
      </c>
      <c r="H10" s="13"/>
      <c r="I10" s="13">
        <v>0</v>
      </c>
      <c r="J10" s="13"/>
      <c r="K10" s="13" t="s">
        <v>101</v>
      </c>
      <c r="L10" s="13">
        <v>0</v>
      </c>
      <c r="M10" s="13">
        <v>0</v>
      </c>
      <c r="N10" s="13">
        <v>0</v>
      </c>
    </row>
    <row r="11" spans="2:14" x14ac:dyDescent="0.3">
      <c r="B11" s="12" t="s">
        <v>40</v>
      </c>
      <c r="C11" s="13">
        <v>9000</v>
      </c>
      <c r="D11" s="13">
        <v>0</v>
      </c>
      <c r="E11" s="13">
        <v>9000</v>
      </c>
      <c r="F11" s="13"/>
      <c r="G11" s="13">
        <v>9000</v>
      </c>
      <c r="H11" s="13"/>
      <c r="I11" s="13">
        <v>0</v>
      </c>
      <c r="J11" s="13"/>
      <c r="K11" s="13" t="s">
        <v>101</v>
      </c>
      <c r="L11" s="13">
        <v>0</v>
      </c>
      <c r="M11" s="13">
        <v>0</v>
      </c>
      <c r="N11" s="13">
        <v>0</v>
      </c>
    </row>
    <row r="12" spans="2:14" x14ac:dyDescent="0.3">
      <c r="B12" s="12" t="s">
        <v>58</v>
      </c>
      <c r="C12" s="13">
        <v>5000</v>
      </c>
      <c r="D12" s="13">
        <v>0</v>
      </c>
      <c r="E12" s="13">
        <v>0</v>
      </c>
      <c r="F12" s="13"/>
      <c r="G12" s="13">
        <v>0</v>
      </c>
      <c r="H12" s="13"/>
      <c r="I12" s="13">
        <v>0</v>
      </c>
      <c r="J12" s="13"/>
      <c r="K12" s="13" t="s">
        <v>108</v>
      </c>
      <c r="L12" s="13">
        <v>0</v>
      </c>
      <c r="M12" s="13">
        <v>0</v>
      </c>
      <c r="N12" s="13">
        <v>0</v>
      </c>
    </row>
    <row r="13" spans="2:14" s="1" customFormat="1" x14ac:dyDescent="0.3">
      <c r="B13" s="2" t="s">
        <v>32</v>
      </c>
      <c r="C13" s="7">
        <f t="shared" ref="C13:N13" si="0">SUM(C6:C12)</f>
        <v>68020</v>
      </c>
      <c r="D13" s="7">
        <f t="shared" si="0"/>
        <v>1530</v>
      </c>
      <c r="E13" s="7">
        <f t="shared" si="0"/>
        <v>46676</v>
      </c>
      <c r="F13" s="7">
        <f t="shared" si="0"/>
        <v>0</v>
      </c>
      <c r="G13" s="7">
        <f t="shared" si="0"/>
        <v>46676</v>
      </c>
      <c r="H13" s="7">
        <f t="shared" si="0"/>
        <v>1300</v>
      </c>
      <c r="I13" s="7">
        <f t="shared" si="0"/>
        <v>23626</v>
      </c>
      <c r="J13" s="50">
        <f>IFERROR(I13/E13,"N/A")</f>
        <v>0.5061701945325221</v>
      </c>
      <c r="K13" s="7">
        <f t="shared" si="0"/>
        <v>0</v>
      </c>
      <c r="L13" s="7">
        <f t="shared" si="0"/>
        <v>23735</v>
      </c>
      <c r="M13" s="7">
        <f t="shared" si="0"/>
        <v>23847</v>
      </c>
      <c r="N13" s="7">
        <f t="shared" si="0"/>
        <v>23963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5" t="s">
        <v>38</v>
      </c>
      <c r="C15" s="6">
        <v>0</v>
      </c>
      <c r="D15" s="6"/>
      <c r="E15" s="6">
        <v>0</v>
      </c>
      <c r="F15" s="6"/>
      <c r="G15" s="6">
        <v>0</v>
      </c>
      <c r="H15" s="6">
        <v>0</v>
      </c>
      <c r="I15" s="91">
        <v>15000</v>
      </c>
      <c r="J15" s="49" t="str">
        <f>IFERROR(I15/E15,"N/A")</f>
        <v>N/A</v>
      </c>
      <c r="K15" s="6"/>
      <c r="L15" s="6">
        <f>ROUND(I15*RPI,0)</f>
        <v>15450</v>
      </c>
      <c r="M15" s="6">
        <f t="shared" ref="M15:N17" si="1">ROUND(L15*RPI,0)</f>
        <v>15914</v>
      </c>
      <c r="N15" s="6">
        <f t="shared" si="1"/>
        <v>16391</v>
      </c>
    </row>
    <row r="16" spans="2:14" ht="28.8" x14ac:dyDescent="0.3">
      <c r="B16" s="12" t="s">
        <v>67</v>
      </c>
      <c r="C16" s="13">
        <v>8000</v>
      </c>
      <c r="D16" s="13">
        <v>14014</v>
      </c>
      <c r="E16" s="13">
        <v>8000</v>
      </c>
      <c r="F16" s="13"/>
      <c r="G16" s="13">
        <v>8000</v>
      </c>
      <c r="H16" s="13">
        <v>0</v>
      </c>
      <c r="I16" s="13">
        <v>0</v>
      </c>
      <c r="J16" s="13"/>
      <c r="K16" s="87" t="s">
        <v>132</v>
      </c>
      <c r="L16" s="13">
        <f>ROUND(I16*RPI,0)</f>
        <v>0</v>
      </c>
      <c r="M16" s="13">
        <f t="shared" si="1"/>
        <v>0</v>
      </c>
      <c r="N16" s="13">
        <f t="shared" si="1"/>
        <v>0</v>
      </c>
    </row>
    <row r="17" spans="2:14" ht="28.8" x14ac:dyDescent="0.3">
      <c r="B17" s="12" t="s">
        <v>131</v>
      </c>
      <c r="C17" s="13">
        <v>6000</v>
      </c>
      <c r="D17" s="13">
        <v>0</v>
      </c>
      <c r="E17" s="13">
        <v>6000</v>
      </c>
      <c r="F17" s="13"/>
      <c r="G17" s="13">
        <v>6000</v>
      </c>
      <c r="H17" s="13">
        <v>0</v>
      </c>
      <c r="I17" s="13">
        <v>0</v>
      </c>
      <c r="J17" s="13"/>
      <c r="K17" s="87" t="s">
        <v>132</v>
      </c>
      <c r="L17" s="13">
        <f>ROUND(I17*RPI,0)</f>
        <v>0</v>
      </c>
      <c r="M17" s="13">
        <f t="shared" si="1"/>
        <v>0</v>
      </c>
      <c r="N17" s="13">
        <f t="shared" si="1"/>
        <v>0</v>
      </c>
    </row>
    <row r="18" spans="2:14" s="1" customFormat="1" x14ac:dyDescent="0.3">
      <c r="B18" s="2" t="s">
        <v>32</v>
      </c>
      <c r="C18" s="7">
        <f>SUM(C14:C17)</f>
        <v>14000</v>
      </c>
      <c r="D18" s="7">
        <f t="shared" ref="D18:N18" si="2">SUM(D14:D17)</f>
        <v>14014</v>
      </c>
      <c r="E18" s="7">
        <f t="shared" si="2"/>
        <v>14000</v>
      </c>
      <c r="F18" s="7">
        <f t="shared" si="2"/>
        <v>0</v>
      </c>
      <c r="G18" s="7">
        <f t="shared" si="2"/>
        <v>14000</v>
      </c>
      <c r="H18" s="7">
        <f t="shared" si="2"/>
        <v>0</v>
      </c>
      <c r="I18" s="7">
        <f>SUM(I14:I17)</f>
        <v>15000</v>
      </c>
      <c r="J18" s="50">
        <f>IFERROR(I18/E18,"N/A")</f>
        <v>1.0714285714285714</v>
      </c>
      <c r="K18" s="7"/>
      <c r="L18" s="7">
        <f t="shared" si="2"/>
        <v>15450</v>
      </c>
      <c r="M18" s="7">
        <f t="shared" si="2"/>
        <v>15914</v>
      </c>
      <c r="N18" s="7">
        <f t="shared" si="2"/>
        <v>16391</v>
      </c>
    </row>
    <row r="19" spans="2:14" s="1" customFormat="1" x14ac:dyDescent="0.3"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s="1" customFormat="1" x14ac:dyDescent="0.3">
      <c r="B20" s="39" t="s">
        <v>164</v>
      </c>
      <c r="C20" s="45">
        <v>200</v>
      </c>
      <c r="D20" s="46">
        <v>325</v>
      </c>
      <c r="E20" s="45">
        <v>200</v>
      </c>
      <c r="F20" s="36"/>
      <c r="G20" s="45">
        <v>200</v>
      </c>
      <c r="H20" s="36"/>
      <c r="I20" s="46">
        <v>0</v>
      </c>
      <c r="J20" s="46"/>
      <c r="K20" s="46"/>
      <c r="L20" s="46">
        <v>0</v>
      </c>
      <c r="M20" s="46">
        <v>0</v>
      </c>
      <c r="N20" s="46">
        <v>0</v>
      </c>
    </row>
    <row r="21" spans="2:14" s="1" customFormat="1" x14ac:dyDescent="0.3">
      <c r="B21" s="39" t="s">
        <v>165</v>
      </c>
      <c r="C21" s="45">
        <v>1000</v>
      </c>
      <c r="D21" s="46">
        <v>0</v>
      </c>
      <c r="E21" s="45">
        <v>1000</v>
      </c>
      <c r="F21" s="36"/>
      <c r="G21" s="45">
        <v>1000</v>
      </c>
      <c r="H21" s="36"/>
      <c r="I21" s="46">
        <v>0</v>
      </c>
      <c r="J21" s="46"/>
      <c r="K21" s="46"/>
      <c r="L21" s="46">
        <v>0</v>
      </c>
      <c r="M21" s="46">
        <v>0</v>
      </c>
      <c r="N21" s="46">
        <v>0</v>
      </c>
    </row>
    <row r="22" spans="2:14" s="1" customFormat="1" x14ac:dyDescent="0.3">
      <c r="B22" s="39" t="s">
        <v>166</v>
      </c>
      <c r="C22" s="45">
        <v>2000</v>
      </c>
      <c r="D22" s="46">
        <v>0</v>
      </c>
      <c r="E22" s="45">
        <v>2000</v>
      </c>
      <c r="F22" s="36"/>
      <c r="G22" s="45">
        <v>2000</v>
      </c>
      <c r="H22" s="36"/>
      <c r="I22" s="46">
        <v>0</v>
      </c>
      <c r="J22" s="46"/>
      <c r="K22" s="46"/>
      <c r="L22" s="46">
        <v>0</v>
      </c>
      <c r="M22" s="46">
        <v>0</v>
      </c>
      <c r="N22" s="46">
        <v>0</v>
      </c>
    </row>
    <row r="23" spans="2:14" s="1" customFormat="1" x14ac:dyDescent="0.3">
      <c r="B23" s="39" t="s">
        <v>167</v>
      </c>
      <c r="C23" s="45">
        <v>100</v>
      </c>
      <c r="D23" s="46">
        <v>0</v>
      </c>
      <c r="E23" s="45">
        <v>100</v>
      </c>
      <c r="F23" s="36"/>
      <c r="G23" s="45">
        <v>100</v>
      </c>
      <c r="H23" s="36"/>
      <c r="I23" s="46">
        <v>0</v>
      </c>
      <c r="J23" s="46"/>
      <c r="K23" s="46"/>
      <c r="L23" s="46">
        <v>0</v>
      </c>
      <c r="M23" s="46">
        <v>0</v>
      </c>
      <c r="N23" s="46">
        <v>0</v>
      </c>
    </row>
    <row r="24" spans="2:14" s="1" customFormat="1" x14ac:dyDescent="0.3">
      <c r="B24" s="39" t="s">
        <v>185</v>
      </c>
      <c r="C24" s="45">
        <v>400</v>
      </c>
      <c r="D24" s="46">
        <v>0</v>
      </c>
      <c r="E24" s="45">
        <v>400</v>
      </c>
      <c r="F24" s="36"/>
      <c r="G24" s="45">
        <v>400</v>
      </c>
      <c r="H24" s="36"/>
      <c r="I24" s="46">
        <v>0</v>
      </c>
      <c r="J24" s="46"/>
      <c r="K24" s="46"/>
      <c r="L24" s="46">
        <v>0</v>
      </c>
      <c r="M24" s="46">
        <v>0</v>
      </c>
      <c r="N24" s="46">
        <v>0</v>
      </c>
    </row>
    <row r="25" spans="2:14" s="1" customFormat="1" x14ac:dyDescent="0.3">
      <c r="B25" s="39" t="s">
        <v>168</v>
      </c>
      <c r="C25" s="45">
        <v>400</v>
      </c>
      <c r="D25" s="46">
        <v>258</v>
      </c>
      <c r="E25" s="45">
        <v>400</v>
      </c>
      <c r="F25" s="36"/>
      <c r="G25" s="45">
        <v>400</v>
      </c>
      <c r="H25" s="36"/>
      <c r="I25" s="46">
        <v>0</v>
      </c>
      <c r="J25" s="46"/>
      <c r="K25" s="46"/>
      <c r="L25" s="46">
        <v>0</v>
      </c>
      <c r="M25" s="46">
        <v>0</v>
      </c>
      <c r="N25" s="46">
        <v>0</v>
      </c>
    </row>
    <row r="26" spans="2:14" s="1" customFormat="1" x14ac:dyDescent="0.3">
      <c r="B26" s="47" t="s">
        <v>32</v>
      </c>
      <c r="C26" s="48">
        <f>SUM(C20:C25)</f>
        <v>4100</v>
      </c>
      <c r="D26" s="48">
        <f>SUM(D20:D25)</f>
        <v>583</v>
      </c>
      <c r="E26" s="48">
        <f>SUM(E20:E25)</f>
        <v>4100</v>
      </c>
      <c r="F26" s="48"/>
      <c r="G26" s="48">
        <f>SUM(G20:G25)</f>
        <v>4100</v>
      </c>
      <c r="H26" s="48"/>
      <c r="I26" s="48">
        <f>SUM(I20:I25)</f>
        <v>0</v>
      </c>
      <c r="J26" s="48"/>
      <c r="K26" s="48"/>
      <c r="L26" s="48">
        <f>SUM(L20:L25)</f>
        <v>0</v>
      </c>
      <c r="M26" s="48">
        <f>SUM(M20:M25)</f>
        <v>0</v>
      </c>
      <c r="N26" s="48">
        <f>SUM(N20:N25)</f>
        <v>0</v>
      </c>
    </row>
    <row r="27" spans="2:14" x14ac:dyDescent="0.3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s="1" customFormat="1" x14ac:dyDescent="0.3">
      <c r="B28" s="2" t="s">
        <v>35</v>
      </c>
      <c r="C28" s="7">
        <f t="shared" ref="C28:I28" si="3">0.5*SUM(C5:C27)</f>
        <v>86120</v>
      </c>
      <c r="D28" s="7">
        <f t="shared" si="3"/>
        <v>16127</v>
      </c>
      <c r="E28" s="7">
        <f t="shared" si="3"/>
        <v>64776</v>
      </c>
      <c r="F28" s="7">
        <f t="shared" si="3"/>
        <v>0</v>
      </c>
      <c r="G28" s="7">
        <f t="shared" si="3"/>
        <v>64776</v>
      </c>
      <c r="H28" s="7">
        <f t="shared" si="3"/>
        <v>1300</v>
      </c>
      <c r="I28" s="7">
        <f t="shared" si="3"/>
        <v>38626</v>
      </c>
      <c r="J28" s="50">
        <f>IFERROR(I28/E28,"N/A")</f>
        <v>0.59630109917253304</v>
      </c>
      <c r="K28" s="7"/>
      <c r="L28" s="7">
        <f>0.5*SUM(L5:L27)</f>
        <v>39185</v>
      </c>
      <c r="M28" s="7">
        <f>0.5*SUM(M5:M27)</f>
        <v>39761</v>
      </c>
      <c r="N28" s="7">
        <f>0.5*SUM(N5:N27)</f>
        <v>40354</v>
      </c>
    </row>
    <row r="29" spans="2:14" x14ac:dyDescent="0.3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s="1" customFormat="1" x14ac:dyDescent="0.3">
      <c r="B30" s="2" t="s">
        <v>34</v>
      </c>
      <c r="C30" s="7">
        <f t="shared" ref="C30:I30" si="4">SUM(C29:C29)</f>
        <v>0</v>
      </c>
      <c r="D30" s="7">
        <f t="shared" si="4"/>
        <v>0</v>
      </c>
      <c r="E30" s="7">
        <f t="shared" si="4"/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/>
      <c r="K30" s="7"/>
      <c r="L30" s="7">
        <f>SUM(L29:L29)</f>
        <v>0</v>
      </c>
      <c r="M30" s="7">
        <f>SUM(M29:M29)</f>
        <v>0</v>
      </c>
      <c r="N30" s="7">
        <f>SUM(N29:N29)</f>
        <v>0</v>
      </c>
    </row>
    <row r="31" spans="2:14" x14ac:dyDescent="0.3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s="1" customFormat="1" x14ac:dyDescent="0.3">
      <c r="B32" s="2" t="s">
        <v>33</v>
      </c>
      <c r="C32" s="7">
        <f t="shared" ref="C32:I32" si="5">C30+C28</f>
        <v>86120</v>
      </c>
      <c r="D32" s="7">
        <f t="shared" si="5"/>
        <v>16127</v>
      </c>
      <c r="E32" s="7">
        <f t="shared" si="5"/>
        <v>64776</v>
      </c>
      <c r="F32" s="7">
        <f t="shared" si="5"/>
        <v>0</v>
      </c>
      <c r="G32" s="7">
        <f t="shared" si="5"/>
        <v>64776</v>
      </c>
      <c r="H32" s="7">
        <f t="shared" si="5"/>
        <v>1300</v>
      </c>
      <c r="I32" s="7">
        <f t="shared" si="5"/>
        <v>38626</v>
      </c>
      <c r="J32" s="50">
        <f>IFERROR(I32/E32,"N/A")</f>
        <v>0.59630109917253304</v>
      </c>
      <c r="K32" s="7"/>
      <c r="L32" s="7">
        <f>L30+L28</f>
        <v>39185</v>
      </c>
      <c r="M32" s="7">
        <f>M30+M28</f>
        <v>39761</v>
      </c>
      <c r="N32" s="7">
        <f>N30+N28</f>
        <v>40354</v>
      </c>
    </row>
    <row r="34" spans="9:9" x14ac:dyDescent="0.3">
      <c r="I34" s="24"/>
    </row>
  </sheetData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3:N24"/>
  <sheetViews>
    <sheetView topLeftCell="D5" workbookViewId="0">
      <selection activeCell="J19" sqref="J1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20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133</v>
      </c>
      <c r="C6" s="6">
        <v>2000</v>
      </c>
      <c r="D6" s="6">
        <v>0</v>
      </c>
      <c r="E6" s="6">
        <v>2000</v>
      </c>
      <c r="F6" s="6"/>
      <c r="G6" s="6">
        <v>2000</v>
      </c>
      <c r="H6" s="6">
        <v>2000</v>
      </c>
      <c r="I6" s="91">
        <v>2000</v>
      </c>
      <c r="J6" s="49">
        <f>IFERROR(I6/E6,"N/A")</f>
        <v>1</v>
      </c>
      <c r="K6" s="6"/>
      <c r="L6" s="6">
        <f>ROUND(I6*RPI,0)</f>
        <v>2060</v>
      </c>
      <c r="M6" s="6">
        <f t="shared" ref="M6:N8" si="0">ROUND(L6*RPI,0)</f>
        <v>2122</v>
      </c>
      <c r="N6" s="6">
        <f t="shared" si="0"/>
        <v>2186</v>
      </c>
    </row>
    <row r="7" spans="2:14" ht="28.8" x14ac:dyDescent="0.3">
      <c r="B7" s="5" t="s">
        <v>145</v>
      </c>
      <c r="C7" s="6">
        <v>17000</v>
      </c>
      <c r="D7" s="6">
        <f>150+4222</f>
        <v>4372</v>
      </c>
      <c r="E7" s="6">
        <v>11000</v>
      </c>
      <c r="F7" s="6">
        <v>1900</v>
      </c>
      <c r="G7" s="6">
        <v>12900</v>
      </c>
      <c r="H7" s="6">
        <f>20160+12900</f>
        <v>33060</v>
      </c>
      <c r="I7" s="92">
        <f>12920+'CTax Options'!M19-'CTax Options'!N19</f>
        <v>20000</v>
      </c>
      <c r="J7" s="49">
        <f>IFERROR(I7/E7,"N/A")</f>
        <v>1.8181818181818181</v>
      </c>
      <c r="K7" s="16" t="s">
        <v>172</v>
      </c>
      <c r="L7" s="6">
        <f>ROUND(G7*RPI*RPI+1500,0)</f>
        <v>15186</v>
      </c>
      <c r="M7" s="6">
        <f t="shared" si="0"/>
        <v>15642</v>
      </c>
      <c r="N7" s="6">
        <f t="shared" si="0"/>
        <v>16111</v>
      </c>
    </row>
    <row r="8" spans="2:14" x14ac:dyDescent="0.3">
      <c r="B8" s="5" t="s">
        <v>134</v>
      </c>
      <c r="C8" s="6">
        <v>2500</v>
      </c>
      <c r="D8" s="6">
        <v>344</v>
      </c>
      <c r="E8" s="6">
        <v>2500</v>
      </c>
      <c r="F8" s="6"/>
      <c r="G8" s="6">
        <v>2500</v>
      </c>
      <c r="H8" s="6">
        <f>462*3/2</f>
        <v>693</v>
      </c>
      <c r="I8" s="91">
        <v>4000</v>
      </c>
      <c r="J8" s="49">
        <f>IFERROR(I8/E8,"N/A")</f>
        <v>1.6</v>
      </c>
      <c r="K8" s="6"/>
      <c r="L8" s="6">
        <f>ROUND(I8*RPI,0)</f>
        <v>4120</v>
      </c>
      <c r="M8" s="6">
        <f t="shared" si="0"/>
        <v>4244</v>
      </c>
      <c r="N8" s="6">
        <f t="shared" si="0"/>
        <v>4371</v>
      </c>
    </row>
    <row r="9" spans="2:14" x14ac:dyDescent="0.3">
      <c r="B9" s="12" t="s">
        <v>135</v>
      </c>
      <c r="C9" s="13">
        <v>5000</v>
      </c>
      <c r="D9" s="13">
        <v>0</v>
      </c>
      <c r="E9" s="13">
        <v>2000</v>
      </c>
      <c r="F9" s="13"/>
      <c r="G9" s="13">
        <v>2000</v>
      </c>
      <c r="H9" s="13">
        <f>244*2</f>
        <v>488</v>
      </c>
      <c r="I9" s="13">
        <v>0</v>
      </c>
      <c r="J9" s="13"/>
      <c r="K9" s="13" t="s">
        <v>137</v>
      </c>
      <c r="L9" s="13">
        <v>0</v>
      </c>
      <c r="M9" s="13">
        <v>0</v>
      </c>
      <c r="N9" s="13">
        <v>0</v>
      </c>
    </row>
    <row r="10" spans="2:14" x14ac:dyDescent="0.3">
      <c r="B10" s="12" t="s">
        <v>136</v>
      </c>
      <c r="C10" s="13">
        <v>4000</v>
      </c>
      <c r="D10" s="13">
        <v>10</v>
      </c>
      <c r="E10" s="13">
        <v>1000</v>
      </c>
      <c r="F10" s="13"/>
      <c r="G10" s="13">
        <v>1000</v>
      </c>
      <c r="H10" s="13">
        <v>30</v>
      </c>
      <c r="I10" s="13">
        <v>0</v>
      </c>
      <c r="J10" s="13"/>
      <c r="K10" s="13" t="s">
        <v>137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 t="shared" ref="C11:I11" si="1">SUM(C6:C10)</f>
        <v>30500</v>
      </c>
      <c r="D11" s="7">
        <f t="shared" si="1"/>
        <v>4726</v>
      </c>
      <c r="E11" s="7">
        <f t="shared" si="1"/>
        <v>18500</v>
      </c>
      <c r="F11" s="7">
        <f t="shared" si="1"/>
        <v>1900</v>
      </c>
      <c r="G11" s="7">
        <f t="shared" si="1"/>
        <v>20400</v>
      </c>
      <c r="H11" s="7">
        <f t="shared" si="1"/>
        <v>36271</v>
      </c>
      <c r="I11" s="7">
        <f t="shared" si="1"/>
        <v>26000</v>
      </c>
      <c r="J11" s="50">
        <f>IFERROR(I11/E11,"N/A")</f>
        <v>1.4054054054054055</v>
      </c>
      <c r="K11" s="7"/>
      <c r="L11" s="7">
        <f>SUM(L6:L10)</f>
        <v>21366</v>
      </c>
      <c r="M11" s="7">
        <f>SUM(M6:M10)</f>
        <v>22008</v>
      </c>
      <c r="N11" s="7">
        <f>SUM(N6:N10)</f>
        <v>22668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143</v>
      </c>
      <c r="C13" s="6">
        <v>1500</v>
      </c>
      <c r="D13" s="6">
        <v>186</v>
      </c>
      <c r="E13" s="6">
        <v>1000</v>
      </c>
      <c r="F13" s="6"/>
      <c r="G13" s="6">
        <v>1000</v>
      </c>
      <c r="H13" s="6">
        <f>266*3/2</f>
        <v>399</v>
      </c>
      <c r="I13" s="91">
        <v>1000</v>
      </c>
      <c r="J13" s="49">
        <f>IFERROR(I13/E13,"N/A")</f>
        <v>1</v>
      </c>
      <c r="K13" s="6"/>
      <c r="L13" s="6">
        <f>ROUND(I13*RPI,0)</f>
        <v>1030</v>
      </c>
      <c r="M13" s="6">
        <f>ROUND(L13*RPI,0)</f>
        <v>1061</v>
      </c>
      <c r="N13" s="6">
        <f>ROUND(M13*RPI,0)</f>
        <v>1093</v>
      </c>
    </row>
    <row r="14" spans="2:14" x14ac:dyDescent="0.3">
      <c r="B14" s="5" t="s">
        <v>144</v>
      </c>
      <c r="C14" s="6">
        <v>3000</v>
      </c>
      <c r="D14" s="6">
        <v>375</v>
      </c>
      <c r="E14" s="6">
        <v>1500</v>
      </c>
      <c r="F14" s="6"/>
      <c r="G14" s="6">
        <v>1500</v>
      </c>
      <c r="H14" s="6">
        <f>110*3/2</f>
        <v>165</v>
      </c>
      <c r="I14" s="91">
        <v>1000</v>
      </c>
      <c r="J14" s="49">
        <f>IFERROR(I14/E14,"N/A")</f>
        <v>0.66666666666666663</v>
      </c>
      <c r="K14" s="6"/>
      <c r="L14" s="6">
        <f>ROUND(I14*RPI,0)</f>
        <v>1030</v>
      </c>
      <c r="M14" s="6">
        <f>ROUND(L14*RPI,0)</f>
        <v>1061</v>
      </c>
      <c r="N14" s="6">
        <f>ROUND(M14*RPI,0)</f>
        <v>1093</v>
      </c>
    </row>
    <row r="15" spans="2:14" s="1" customFormat="1" x14ac:dyDescent="0.3">
      <c r="B15" s="2" t="s">
        <v>32</v>
      </c>
      <c r="C15" s="7">
        <f t="shared" ref="C15:I15" si="2">SUM(C12:C14)</f>
        <v>4500</v>
      </c>
      <c r="D15" s="7">
        <f t="shared" si="2"/>
        <v>561</v>
      </c>
      <c r="E15" s="7">
        <f t="shared" si="2"/>
        <v>2500</v>
      </c>
      <c r="F15" s="7">
        <f t="shared" si="2"/>
        <v>0</v>
      </c>
      <c r="G15" s="7">
        <f t="shared" si="2"/>
        <v>2500</v>
      </c>
      <c r="H15" s="7">
        <f t="shared" si="2"/>
        <v>564</v>
      </c>
      <c r="I15" s="7">
        <f t="shared" si="2"/>
        <v>2000</v>
      </c>
      <c r="J15" s="50">
        <f>IFERROR(I15/E15,"N/A")</f>
        <v>0.8</v>
      </c>
      <c r="K15" s="7"/>
      <c r="L15" s="7">
        <f>SUM(L12:L14)</f>
        <v>2060</v>
      </c>
      <c r="M15" s="7">
        <f>SUM(M12:M14)</f>
        <v>2122</v>
      </c>
      <c r="N15" s="7">
        <f>SUM(N12:N14)</f>
        <v>2186</v>
      </c>
    </row>
    <row r="16" spans="2:14" s="1" customFormat="1" x14ac:dyDescent="0.3"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s="27" customFormat="1" ht="28.8" x14ac:dyDescent="0.3">
      <c r="B17" s="28" t="s">
        <v>149</v>
      </c>
      <c r="C17" s="26">
        <v>100000</v>
      </c>
      <c r="D17" s="26">
        <v>0</v>
      </c>
      <c r="E17" s="26">
        <v>50000</v>
      </c>
      <c r="F17" s="26">
        <v>-40000</v>
      </c>
      <c r="G17" s="26">
        <v>10000</v>
      </c>
      <c r="H17" s="26">
        <v>0</v>
      </c>
      <c r="I17" s="97">
        <f>'CTax Options'!M20-'CTax Options'!N20</f>
        <v>25000</v>
      </c>
      <c r="J17" s="55">
        <f>IFERROR(I17/E17,"N/A")</f>
        <v>0.5</v>
      </c>
      <c r="K17" s="26"/>
      <c r="L17" s="26">
        <v>50000</v>
      </c>
      <c r="M17" s="26">
        <v>50000</v>
      </c>
      <c r="N17" s="26">
        <v>50000</v>
      </c>
    </row>
    <row r="18" spans="2:14" s="1" customFormat="1" x14ac:dyDescent="0.3">
      <c r="B18" s="2" t="s">
        <v>32</v>
      </c>
      <c r="C18" s="7">
        <f t="shared" ref="C18:N18" si="3">C17</f>
        <v>100000</v>
      </c>
      <c r="D18" s="7">
        <f t="shared" si="3"/>
        <v>0</v>
      </c>
      <c r="E18" s="7">
        <f t="shared" si="3"/>
        <v>50000</v>
      </c>
      <c r="F18" s="7">
        <f t="shared" si="3"/>
        <v>-40000</v>
      </c>
      <c r="G18" s="7">
        <f t="shared" si="3"/>
        <v>10000</v>
      </c>
      <c r="H18" s="7">
        <f t="shared" si="3"/>
        <v>0</v>
      </c>
      <c r="I18" s="7">
        <f t="shared" si="3"/>
        <v>25000</v>
      </c>
      <c r="J18" s="50">
        <f>IFERROR(I18/E18,"N/A")</f>
        <v>0.5</v>
      </c>
      <c r="K18" s="7">
        <f t="shared" si="3"/>
        <v>0</v>
      </c>
      <c r="L18" s="7">
        <f t="shared" si="3"/>
        <v>50000</v>
      </c>
      <c r="M18" s="7">
        <f t="shared" si="3"/>
        <v>50000</v>
      </c>
      <c r="N18" s="7">
        <f t="shared" si="3"/>
        <v>50000</v>
      </c>
    </row>
    <row r="19" spans="2:14" x14ac:dyDescent="0.3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s="1" customFormat="1" x14ac:dyDescent="0.3">
      <c r="B20" s="2" t="s">
        <v>35</v>
      </c>
      <c r="C20" s="7">
        <f t="shared" ref="C20:I20" si="4">0.5*SUM(C5:C19)</f>
        <v>135000</v>
      </c>
      <c r="D20" s="7">
        <f t="shared" si="4"/>
        <v>5287</v>
      </c>
      <c r="E20" s="7">
        <f t="shared" si="4"/>
        <v>71000</v>
      </c>
      <c r="F20" s="7">
        <f t="shared" si="4"/>
        <v>-38100</v>
      </c>
      <c r="G20" s="7">
        <f t="shared" si="4"/>
        <v>32900</v>
      </c>
      <c r="H20" s="7">
        <f t="shared" si="4"/>
        <v>36835</v>
      </c>
      <c r="I20" s="7">
        <f t="shared" si="4"/>
        <v>53000</v>
      </c>
      <c r="J20" s="50">
        <f>IFERROR(I20/E20,"N/A")</f>
        <v>0.74647887323943662</v>
      </c>
      <c r="K20" s="7"/>
      <c r="L20" s="7">
        <f>0.5*SUM(L5:L19)</f>
        <v>73426</v>
      </c>
      <c r="M20" s="7">
        <f>0.5*SUM(M5:M19)</f>
        <v>74130</v>
      </c>
      <c r="N20" s="7">
        <f>0.5*SUM(N5:N19)</f>
        <v>74854</v>
      </c>
    </row>
    <row r="21" spans="2:14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s="1" customFormat="1" ht="28.8" x14ac:dyDescent="0.3">
      <c r="B22" s="30" t="s">
        <v>34</v>
      </c>
      <c r="C22" s="36">
        <f t="shared" ref="C22:I22" si="5">SUM(C21:C21)</f>
        <v>0</v>
      </c>
      <c r="D22" s="36">
        <f t="shared" si="5"/>
        <v>0</v>
      </c>
      <c r="E22" s="36">
        <v>-15000</v>
      </c>
      <c r="F22" s="36">
        <f t="shared" si="5"/>
        <v>0</v>
      </c>
      <c r="G22" s="36">
        <v>-15000</v>
      </c>
      <c r="H22" s="36">
        <f t="shared" si="5"/>
        <v>0</v>
      </c>
      <c r="I22" s="36">
        <f t="shared" si="5"/>
        <v>0</v>
      </c>
      <c r="J22" s="36"/>
      <c r="K22" s="88" t="s">
        <v>248</v>
      </c>
      <c r="L22" s="36">
        <f>SUM(L21:L21)</f>
        <v>0</v>
      </c>
      <c r="M22" s="36">
        <f>SUM(M21:M21)</f>
        <v>0</v>
      </c>
      <c r="N22" s="36">
        <f>SUM(N21:N21)</f>
        <v>0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6">C22+C20</f>
        <v>135000</v>
      </c>
      <c r="D24" s="7">
        <f t="shared" si="6"/>
        <v>5287</v>
      </c>
      <c r="E24" s="7">
        <f t="shared" si="6"/>
        <v>56000</v>
      </c>
      <c r="F24" s="7">
        <f t="shared" si="6"/>
        <v>-38100</v>
      </c>
      <c r="G24" s="7">
        <f t="shared" si="6"/>
        <v>17900</v>
      </c>
      <c r="H24" s="7">
        <f t="shared" si="6"/>
        <v>36835</v>
      </c>
      <c r="I24" s="7">
        <f t="shared" si="6"/>
        <v>53000</v>
      </c>
      <c r="J24" s="50">
        <f>IFERROR(I24/E24,"N/A")</f>
        <v>0.9464285714285714</v>
      </c>
      <c r="K24" s="7"/>
      <c r="L24" s="7">
        <f>L22+L20</f>
        <v>73426</v>
      </c>
      <c r="M24" s="7">
        <f>M22+M20</f>
        <v>74130</v>
      </c>
      <c r="N24" s="7">
        <f>N22+N20</f>
        <v>74854</v>
      </c>
    </row>
  </sheetData>
  <pageMargins left="0.7" right="0.7" top="0.75" bottom="0.75" header="0.3" footer="0.3"/>
  <pageSetup paperSize="9" scale="6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3:N23"/>
  <sheetViews>
    <sheetView topLeftCell="C1" workbookViewId="0">
      <selection activeCell="G25" sqref="G25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173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9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37" t="s">
        <v>138</v>
      </c>
      <c r="C5" s="6">
        <v>2000</v>
      </c>
      <c r="D5" s="6">
        <v>10231</v>
      </c>
      <c r="E5" s="6">
        <v>1000</v>
      </c>
      <c r="F5" s="6"/>
      <c r="G5" s="6">
        <v>1000</v>
      </c>
      <c r="H5" s="6">
        <f>10531-1418-1692</f>
        <v>7421</v>
      </c>
      <c r="I5" s="91">
        <v>6500</v>
      </c>
      <c r="J5" s="49">
        <f t="shared" ref="J5:J11" si="0">IFERROR(I5/E5,"N/A")</f>
        <v>6.5</v>
      </c>
      <c r="K5" s="6"/>
      <c r="L5" s="6">
        <f>ROUND(I5*RPI,0)</f>
        <v>6695</v>
      </c>
      <c r="M5" s="6">
        <f>ROUND(L5*RPI,0)</f>
        <v>6896</v>
      </c>
      <c r="N5" s="6">
        <f>ROUND(M5*RPI,0)</f>
        <v>7103</v>
      </c>
    </row>
    <row r="6" spans="2:14" x14ac:dyDescent="0.3">
      <c r="B6" s="34" t="s">
        <v>139</v>
      </c>
      <c r="C6" s="35">
        <v>2000</v>
      </c>
      <c r="D6" s="35">
        <v>167</v>
      </c>
      <c r="E6" s="35">
        <v>1000</v>
      </c>
      <c r="F6" s="35"/>
      <c r="G6" s="35">
        <v>1000</v>
      </c>
      <c r="H6" s="35">
        <v>1660</v>
      </c>
      <c r="I6" s="35">
        <v>0</v>
      </c>
      <c r="J6" s="89">
        <f t="shared" si="0"/>
        <v>0</v>
      </c>
      <c r="K6" s="35" t="s">
        <v>142</v>
      </c>
      <c r="L6" s="35">
        <v>0</v>
      </c>
      <c r="M6" s="35">
        <v>0</v>
      </c>
      <c r="N6" s="35">
        <v>0</v>
      </c>
    </row>
    <row r="7" spans="2:14" x14ac:dyDescent="0.3">
      <c r="B7" s="37" t="s">
        <v>58</v>
      </c>
      <c r="C7" s="6">
        <v>16000</v>
      </c>
      <c r="D7" s="6">
        <v>26316</v>
      </c>
      <c r="E7" s="6">
        <v>27632</v>
      </c>
      <c r="F7" s="6">
        <v>-5000</v>
      </c>
      <c r="G7" s="6">
        <v>22632</v>
      </c>
      <c r="H7" s="6">
        <v>19950</v>
      </c>
      <c r="I7" s="91">
        <v>25000</v>
      </c>
      <c r="J7" s="49">
        <f t="shared" si="0"/>
        <v>0.90474811812391431</v>
      </c>
      <c r="K7" s="6"/>
      <c r="L7" s="6">
        <f>ROUND(I7*RPI,0)</f>
        <v>25750</v>
      </c>
      <c r="M7" s="6">
        <f t="shared" ref="M7:N10" si="1">ROUND(L7*RPI,0)</f>
        <v>26523</v>
      </c>
      <c r="N7" s="6">
        <f t="shared" si="1"/>
        <v>27319</v>
      </c>
    </row>
    <row r="8" spans="2:14" x14ac:dyDescent="0.3">
      <c r="B8" s="37" t="s">
        <v>140</v>
      </c>
      <c r="C8" s="6">
        <v>0</v>
      </c>
      <c r="D8" s="6">
        <v>0</v>
      </c>
      <c r="E8" s="6">
        <v>0</v>
      </c>
      <c r="F8" s="6"/>
      <c r="G8" s="6">
        <v>0</v>
      </c>
      <c r="H8" s="6">
        <f>1095+323+1692</f>
        <v>3110</v>
      </c>
      <c r="I8" s="91">
        <v>15000</v>
      </c>
      <c r="J8" s="49" t="str">
        <f t="shared" si="0"/>
        <v>N/A</v>
      </c>
      <c r="K8" s="6"/>
      <c r="L8" s="6">
        <v>10000</v>
      </c>
      <c r="M8" s="6">
        <f t="shared" si="1"/>
        <v>10300</v>
      </c>
      <c r="N8" s="6">
        <f t="shared" si="1"/>
        <v>10609</v>
      </c>
    </row>
    <row r="9" spans="2:14" x14ac:dyDescent="0.3">
      <c r="B9" s="37" t="s">
        <v>146</v>
      </c>
      <c r="C9" s="6">
        <v>3000</v>
      </c>
      <c r="D9" s="6">
        <v>65</v>
      </c>
      <c r="E9" s="6">
        <v>1000</v>
      </c>
      <c r="F9" s="6"/>
      <c r="G9" s="6">
        <v>1000</v>
      </c>
      <c r="H9" s="6">
        <f>210*1.5</f>
        <v>315</v>
      </c>
      <c r="I9" s="91">
        <v>500</v>
      </c>
      <c r="J9" s="49">
        <f t="shared" si="0"/>
        <v>0.5</v>
      </c>
      <c r="K9" s="6"/>
      <c r="L9" s="6">
        <f>ROUND(I9*RPI,0)</f>
        <v>515</v>
      </c>
      <c r="M9" s="6">
        <f t="shared" si="1"/>
        <v>530</v>
      </c>
      <c r="N9" s="6">
        <f t="shared" si="1"/>
        <v>546</v>
      </c>
    </row>
    <row r="10" spans="2:14" x14ac:dyDescent="0.3">
      <c r="B10" s="37" t="s">
        <v>141</v>
      </c>
      <c r="C10" s="6">
        <v>39660</v>
      </c>
      <c r="D10" s="6">
        <v>18618</v>
      </c>
      <c r="E10" s="6">
        <v>20000</v>
      </c>
      <c r="F10" s="6"/>
      <c r="G10" s="6">
        <v>20000</v>
      </c>
      <c r="H10" s="6">
        <v>20000</v>
      </c>
      <c r="I10" s="94">
        <f>ROUND(G10*RPI,0)</f>
        <v>20600</v>
      </c>
      <c r="J10" s="49">
        <f t="shared" si="0"/>
        <v>1.03</v>
      </c>
      <c r="K10" s="6"/>
      <c r="L10" s="6">
        <f>ROUND(I10*RPI,0)</f>
        <v>21218</v>
      </c>
      <c r="M10" s="6">
        <f t="shared" si="1"/>
        <v>21855</v>
      </c>
      <c r="N10" s="6">
        <f t="shared" si="1"/>
        <v>22511</v>
      </c>
    </row>
    <row r="11" spans="2:14" s="1" customFormat="1" x14ac:dyDescent="0.3">
      <c r="B11" s="29" t="s">
        <v>32</v>
      </c>
      <c r="C11" s="7">
        <f t="shared" ref="C11:I11" si="2">SUM(C5:C10)</f>
        <v>62660</v>
      </c>
      <c r="D11" s="7">
        <f t="shared" si="2"/>
        <v>55397</v>
      </c>
      <c r="E11" s="7">
        <f t="shared" si="2"/>
        <v>50632</v>
      </c>
      <c r="F11" s="7">
        <f t="shared" si="2"/>
        <v>-5000</v>
      </c>
      <c r="G11" s="7">
        <f t="shared" si="2"/>
        <v>45632</v>
      </c>
      <c r="H11" s="7">
        <f t="shared" si="2"/>
        <v>52456</v>
      </c>
      <c r="I11" s="7">
        <f t="shared" si="2"/>
        <v>67600</v>
      </c>
      <c r="J11" s="50">
        <f t="shared" si="0"/>
        <v>1.3351240322325801</v>
      </c>
      <c r="K11" s="7"/>
      <c r="L11" s="7">
        <f>SUM(L5:L10)</f>
        <v>64178</v>
      </c>
      <c r="M11" s="7">
        <f>SUM(M5:M10)</f>
        <v>66104</v>
      </c>
      <c r="N11" s="7">
        <f>SUM(N5:N10)</f>
        <v>68088</v>
      </c>
    </row>
    <row r="12" spans="2:14" x14ac:dyDescent="0.3">
      <c r="B12" s="3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37" t="s">
        <v>147</v>
      </c>
      <c r="C13" s="6">
        <v>1000</v>
      </c>
      <c r="D13" s="6">
        <v>750</v>
      </c>
      <c r="E13" s="6">
        <v>1000</v>
      </c>
      <c r="F13" s="6"/>
      <c r="G13" s="6">
        <v>1000</v>
      </c>
      <c r="H13" s="6">
        <v>1000</v>
      </c>
      <c r="I13" s="91">
        <v>1500</v>
      </c>
      <c r="J13" s="49">
        <f>IFERROR(I13/E13,"N/A")</f>
        <v>1.5</v>
      </c>
      <c r="K13" s="6"/>
      <c r="L13" s="6">
        <f>ROUND(I13*RPI,0)</f>
        <v>1545</v>
      </c>
      <c r="M13" s="6">
        <f>ROUND(L13*RPI,0)</f>
        <v>1591</v>
      </c>
      <c r="N13" s="6">
        <f>ROUND(M13*RPI,0)</f>
        <v>1639</v>
      </c>
    </row>
    <row r="14" spans="2:14" x14ac:dyDescent="0.3">
      <c r="B14" s="37" t="s">
        <v>148</v>
      </c>
      <c r="C14" s="6">
        <v>3000</v>
      </c>
      <c r="D14" s="6">
        <v>2000</v>
      </c>
      <c r="E14" s="6">
        <v>3000</v>
      </c>
      <c r="F14" s="6"/>
      <c r="G14" s="6">
        <v>3000</v>
      </c>
      <c r="H14" s="6">
        <v>3000</v>
      </c>
      <c r="I14" s="91">
        <v>2500</v>
      </c>
      <c r="J14" s="49">
        <f>IFERROR(I14/E14,"N/A")</f>
        <v>0.83333333333333337</v>
      </c>
      <c r="K14" s="6"/>
      <c r="L14" s="6">
        <f>ROUND(I14*RPI,0)</f>
        <v>2575</v>
      </c>
      <c r="M14" s="6">
        <f>ROUND(L14*RPI,0)</f>
        <v>2652</v>
      </c>
      <c r="N14" s="6">
        <f>ROUND(M14*RPI,0)</f>
        <v>2732</v>
      </c>
    </row>
    <row r="15" spans="2:14" s="1" customFormat="1" x14ac:dyDescent="0.3">
      <c r="B15" s="29" t="s">
        <v>32</v>
      </c>
      <c r="C15" s="7">
        <f t="shared" ref="C15:I15" si="3">SUM(C13:C14)</f>
        <v>4000</v>
      </c>
      <c r="D15" s="7">
        <f t="shared" si="3"/>
        <v>2750</v>
      </c>
      <c r="E15" s="7">
        <f t="shared" si="3"/>
        <v>4000</v>
      </c>
      <c r="F15" s="7">
        <f t="shared" si="3"/>
        <v>0</v>
      </c>
      <c r="G15" s="7">
        <f t="shared" si="3"/>
        <v>4000</v>
      </c>
      <c r="H15" s="7">
        <f t="shared" si="3"/>
        <v>4000</v>
      </c>
      <c r="I15" s="7">
        <f t="shared" si="3"/>
        <v>4000</v>
      </c>
      <c r="J15" s="50">
        <f>IFERROR(I15/E15,"N/A")</f>
        <v>1</v>
      </c>
      <c r="K15" s="7"/>
      <c r="L15" s="7">
        <f>SUM(L13:L14)</f>
        <v>4120</v>
      </c>
      <c r="M15" s="7">
        <f>SUM(M13:M14)</f>
        <v>4243</v>
      </c>
      <c r="N15" s="7">
        <f>SUM(N13:N14)</f>
        <v>4371</v>
      </c>
    </row>
    <row r="16" spans="2:14" x14ac:dyDescent="0.3">
      <c r="B16" s="3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35</v>
      </c>
      <c r="C17" s="7">
        <f t="shared" ref="C17:I17" si="4">0.5*SUM(C5:C16)</f>
        <v>66660</v>
      </c>
      <c r="D17" s="7">
        <f t="shared" si="4"/>
        <v>58147</v>
      </c>
      <c r="E17" s="7">
        <f t="shared" si="4"/>
        <v>54632</v>
      </c>
      <c r="F17" s="7">
        <f t="shared" si="4"/>
        <v>-5000</v>
      </c>
      <c r="G17" s="7">
        <f t="shared" si="4"/>
        <v>49632</v>
      </c>
      <c r="H17" s="7">
        <f t="shared" si="4"/>
        <v>56456</v>
      </c>
      <c r="I17" s="7">
        <f t="shared" si="4"/>
        <v>71600</v>
      </c>
      <c r="J17" s="50">
        <f>IFERROR(I17/E17,"N/A")</f>
        <v>1.3105872016400644</v>
      </c>
      <c r="K17" s="7"/>
      <c r="L17" s="7">
        <f>0.5*SUM(L5:L16)</f>
        <v>68298</v>
      </c>
      <c r="M17" s="7">
        <f>0.5*SUM(M5:M16)</f>
        <v>70347</v>
      </c>
      <c r="N17" s="7">
        <f>0.5*SUM(N5:N16)</f>
        <v>72459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34</v>
      </c>
      <c r="C19" s="7">
        <f t="shared" ref="C19:I19" si="5">SUM(C18:C18)</f>
        <v>0</v>
      </c>
      <c r="D19" s="7">
        <f t="shared" si="5"/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/>
      <c r="K19" s="7"/>
      <c r="L19" s="7">
        <f>SUM(L18:L18)</f>
        <v>0</v>
      </c>
      <c r="M19" s="7">
        <f>SUM(M18:M18)</f>
        <v>0</v>
      </c>
      <c r="N19" s="7">
        <f>SUM(N18:N18)</f>
        <v>0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s="1" customFormat="1" x14ac:dyDescent="0.3">
      <c r="B21" s="2" t="s">
        <v>33</v>
      </c>
      <c r="C21" s="7">
        <f t="shared" ref="C21:I21" si="6">C19+C17</f>
        <v>66660</v>
      </c>
      <c r="D21" s="7">
        <f t="shared" si="6"/>
        <v>58147</v>
      </c>
      <c r="E21" s="7">
        <f t="shared" si="6"/>
        <v>54632</v>
      </c>
      <c r="F21" s="7">
        <f t="shared" si="6"/>
        <v>-5000</v>
      </c>
      <c r="G21" s="7">
        <f t="shared" si="6"/>
        <v>49632</v>
      </c>
      <c r="H21" s="7">
        <f t="shared" si="6"/>
        <v>56456</v>
      </c>
      <c r="I21" s="7">
        <f t="shared" si="6"/>
        <v>71600</v>
      </c>
      <c r="J21" s="50">
        <f>IFERROR(I21/E21,"N/A")</f>
        <v>1.3105872016400644</v>
      </c>
      <c r="K21" s="7"/>
      <c r="L21" s="7">
        <f>L19+L17</f>
        <v>68298</v>
      </c>
      <c r="M21" s="7">
        <f>M19+M17</f>
        <v>70347</v>
      </c>
      <c r="N21" s="7">
        <f>N19+N17</f>
        <v>72459</v>
      </c>
    </row>
    <row r="23" spans="2:14" x14ac:dyDescent="0.3">
      <c r="I23" s="24"/>
    </row>
  </sheetData>
  <pageMargins left="0.7" right="0.7" top="0.75" bottom="0.75" header="0.3" footer="0.3"/>
  <pageSetup paperSize="9" scale="6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3:N21"/>
  <sheetViews>
    <sheetView workbookViewId="0">
      <selection activeCell="K10" sqref="K10"/>
    </sheetView>
  </sheetViews>
  <sheetFormatPr defaultRowHeight="14.4" x14ac:dyDescent="0.3"/>
  <cols>
    <col min="1" max="1" width="4.44140625" customWidth="1"/>
    <col min="2" max="2" width="41.6640625" customWidth="1"/>
    <col min="3" max="3" width="12.21875" hidden="1" customWidth="1"/>
    <col min="4" max="4" width="15.77734375" hidden="1" customWidth="1"/>
    <col min="5" max="8" width="12.21875" hidden="1" customWidth="1"/>
    <col min="9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156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21</v>
      </c>
      <c r="C6" s="6">
        <v>183000</v>
      </c>
      <c r="D6" s="6">
        <v>52891</v>
      </c>
      <c r="E6" s="6">
        <v>187957</v>
      </c>
      <c r="F6" s="6">
        <v>-30000</v>
      </c>
      <c r="G6" s="6">
        <v>157957</v>
      </c>
      <c r="H6" s="6">
        <v>157957</v>
      </c>
      <c r="I6" s="94">
        <f>ROUND(E6*RPI,0)</f>
        <v>193596</v>
      </c>
      <c r="J6" s="49">
        <f t="shared" ref="J6:J11" si="0">IFERROR(I6/E6,"N/A")</f>
        <v>1.0300015429060903</v>
      </c>
      <c r="K6" s="6"/>
      <c r="L6" s="6">
        <f>ROUND(I6*RPI,0)</f>
        <v>199404</v>
      </c>
      <c r="M6" s="6">
        <f t="shared" ref="M6:N10" si="1">ROUND(L6*RPI,0)</f>
        <v>205386</v>
      </c>
      <c r="N6" s="6">
        <f t="shared" si="1"/>
        <v>211548</v>
      </c>
    </row>
    <row r="7" spans="2:14" x14ac:dyDescent="0.3">
      <c r="B7" s="5" t="s">
        <v>150</v>
      </c>
      <c r="C7" s="6">
        <v>24300</v>
      </c>
      <c r="D7" s="6">
        <v>4439</v>
      </c>
      <c r="E7" s="6">
        <v>24998</v>
      </c>
      <c r="F7" s="6"/>
      <c r="G7" s="6">
        <v>24998</v>
      </c>
      <c r="H7" s="6">
        <v>24998</v>
      </c>
      <c r="I7" s="94">
        <f>ROUND(E7*RPI,0)</f>
        <v>25748</v>
      </c>
      <c r="J7" s="49">
        <f t="shared" si="0"/>
        <v>1.0300024001920154</v>
      </c>
      <c r="K7" s="6"/>
      <c r="L7" s="6">
        <f>ROUND(I7*RPI,0)</f>
        <v>26520</v>
      </c>
      <c r="M7" s="6">
        <f t="shared" si="1"/>
        <v>27316</v>
      </c>
      <c r="N7" s="6">
        <f t="shared" si="1"/>
        <v>28135</v>
      </c>
    </row>
    <row r="8" spans="2:14" x14ac:dyDescent="0.3">
      <c r="B8" s="5" t="s">
        <v>151</v>
      </c>
      <c r="C8" s="6">
        <v>29300</v>
      </c>
      <c r="D8" s="6">
        <v>11021</v>
      </c>
      <c r="E8" s="6">
        <v>46989</v>
      </c>
      <c r="F8" s="6"/>
      <c r="G8" s="6">
        <v>46989</v>
      </c>
      <c r="H8" s="6">
        <v>46989</v>
      </c>
      <c r="I8" s="94">
        <f>ROUND(E8*RPI,0)</f>
        <v>48399</v>
      </c>
      <c r="J8" s="49">
        <f t="shared" si="0"/>
        <v>1.030007022920258</v>
      </c>
      <c r="K8" s="6"/>
      <c r="L8" s="6">
        <f>ROUND(I8*RPI,0)</f>
        <v>49851</v>
      </c>
      <c r="M8" s="6">
        <f t="shared" si="1"/>
        <v>51347</v>
      </c>
      <c r="N8" s="6">
        <f t="shared" si="1"/>
        <v>52887</v>
      </c>
    </row>
    <row r="9" spans="2:14" x14ac:dyDescent="0.3">
      <c r="B9" s="5" t="s">
        <v>174</v>
      </c>
      <c r="C9" s="6">
        <v>0</v>
      </c>
      <c r="D9" s="6"/>
      <c r="E9" s="6">
        <v>50000</v>
      </c>
      <c r="F9" s="6">
        <v>-25000</v>
      </c>
      <c r="G9" s="6">
        <v>25000</v>
      </c>
      <c r="H9" s="6">
        <v>0</v>
      </c>
      <c r="I9" s="91">
        <f>ROUND(E9*RPI,0)-10000</f>
        <v>41500</v>
      </c>
      <c r="J9" s="49">
        <f t="shared" si="0"/>
        <v>0.83</v>
      </c>
      <c r="K9" s="6" t="s">
        <v>177</v>
      </c>
      <c r="L9" s="6">
        <f>ROUND(I9*RPI,0)</f>
        <v>42745</v>
      </c>
      <c r="M9" s="6">
        <f t="shared" si="1"/>
        <v>44027</v>
      </c>
      <c r="N9" s="6">
        <f t="shared" si="1"/>
        <v>45348</v>
      </c>
    </row>
    <row r="10" spans="2:14" ht="28.8" x14ac:dyDescent="0.3">
      <c r="B10" s="5" t="s">
        <v>175</v>
      </c>
      <c r="C10" s="6"/>
      <c r="D10" s="6">
        <v>21875</v>
      </c>
      <c r="E10" s="6"/>
      <c r="F10" s="6"/>
      <c r="G10" s="6"/>
      <c r="H10" s="6">
        <v>0</v>
      </c>
      <c r="I10" s="91">
        <v>10000</v>
      </c>
      <c r="J10" s="49" t="str">
        <f t="shared" si="0"/>
        <v>N/A</v>
      </c>
      <c r="K10" s="16" t="s">
        <v>176</v>
      </c>
      <c r="L10" s="6">
        <f>ROUND(I10*RPI,0)</f>
        <v>10300</v>
      </c>
      <c r="M10" s="6">
        <f t="shared" si="1"/>
        <v>10609</v>
      </c>
      <c r="N10" s="6">
        <f t="shared" si="1"/>
        <v>10927</v>
      </c>
    </row>
    <row r="11" spans="2:14" s="1" customFormat="1" x14ac:dyDescent="0.3">
      <c r="B11" s="2" t="s">
        <v>32</v>
      </c>
      <c r="C11" s="7">
        <f t="shared" ref="C11:H11" si="2">SUM(C6:C10)</f>
        <v>236600</v>
      </c>
      <c r="D11" s="7">
        <f t="shared" si="2"/>
        <v>90226</v>
      </c>
      <c r="E11" s="7">
        <f t="shared" si="2"/>
        <v>309944</v>
      </c>
      <c r="F11" s="7">
        <f t="shared" si="2"/>
        <v>-55000</v>
      </c>
      <c r="G11" s="7">
        <f t="shared" si="2"/>
        <v>254944</v>
      </c>
      <c r="H11" s="7">
        <f t="shared" si="2"/>
        <v>229944</v>
      </c>
      <c r="I11" s="7">
        <f>SUM(I6:I10)</f>
        <v>319243</v>
      </c>
      <c r="J11" s="50">
        <f t="shared" si="0"/>
        <v>1.0300021939447126</v>
      </c>
      <c r="K11" s="7"/>
      <c r="L11" s="7">
        <f>SUM(L6:L10)</f>
        <v>328820</v>
      </c>
      <c r="M11" s="7">
        <f>SUM(M6:M10)</f>
        <v>338685</v>
      </c>
      <c r="N11" s="7">
        <f>SUM(N6:N10)</f>
        <v>348845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152</v>
      </c>
      <c r="C13" s="6">
        <v>0</v>
      </c>
      <c r="D13" s="6">
        <v>0</v>
      </c>
      <c r="E13" s="6">
        <v>30000</v>
      </c>
      <c r="F13" s="6">
        <v>-30000</v>
      </c>
      <c r="G13" s="6">
        <v>0</v>
      </c>
      <c r="H13" s="6">
        <v>0</v>
      </c>
      <c r="I13" s="91">
        <f>'CTax Options'!M21-'CTax Options'!N21</f>
        <v>0</v>
      </c>
      <c r="J13" s="49">
        <f>IFERROR(I13/E13,"N/A")</f>
        <v>0</v>
      </c>
      <c r="K13" s="6"/>
      <c r="L13" s="6">
        <v>15000</v>
      </c>
      <c r="M13" s="6">
        <v>30000</v>
      </c>
      <c r="N13" s="6">
        <v>30000</v>
      </c>
    </row>
    <row r="14" spans="2:14" ht="43.2" x14ac:dyDescent="0.3">
      <c r="B14" s="5" t="s">
        <v>153</v>
      </c>
      <c r="C14" s="6">
        <v>7000</v>
      </c>
      <c r="D14" s="6">
        <v>2457</v>
      </c>
      <c r="E14" s="6">
        <v>8500</v>
      </c>
      <c r="F14" s="6"/>
      <c r="G14" s="6">
        <v>8500</v>
      </c>
      <c r="H14" s="6">
        <f>(3604+1000+90)*1.5</f>
        <v>7041</v>
      </c>
      <c r="I14" s="94">
        <f>ROUND(G14*RPI,0)+5880/2</f>
        <v>11695</v>
      </c>
      <c r="J14" s="49">
        <f>IFERROR(I14/E14,"N/A")</f>
        <v>1.3758823529411766</v>
      </c>
      <c r="K14" s="16" t="s">
        <v>256</v>
      </c>
      <c r="L14" s="6">
        <f>ROUND((I14-5880/2)*RPI,0)+5880/2</f>
        <v>11958</v>
      </c>
      <c r="M14" s="6">
        <f>ROUND((L14-5880/2)*RPI,0)</f>
        <v>9289</v>
      </c>
      <c r="N14" s="6">
        <f>ROUND(M14*RPI,0)</f>
        <v>9568</v>
      </c>
    </row>
    <row r="15" spans="2:14" s="1" customFormat="1" x14ac:dyDescent="0.3">
      <c r="B15" s="2" t="s">
        <v>32</v>
      </c>
      <c r="C15" s="7">
        <f t="shared" ref="C15:I15" si="3">SUM(C12:C14)</f>
        <v>7000</v>
      </c>
      <c r="D15" s="7">
        <f t="shared" si="3"/>
        <v>2457</v>
      </c>
      <c r="E15" s="7">
        <f t="shared" si="3"/>
        <v>38500</v>
      </c>
      <c r="F15" s="7">
        <f t="shared" si="3"/>
        <v>-30000</v>
      </c>
      <c r="G15" s="7">
        <f t="shared" si="3"/>
        <v>8500</v>
      </c>
      <c r="H15" s="7">
        <f t="shared" si="3"/>
        <v>7041</v>
      </c>
      <c r="I15" s="7">
        <f t="shared" si="3"/>
        <v>11695</v>
      </c>
      <c r="J15" s="50">
        <f>IFERROR(I15/E15,"N/A")</f>
        <v>0.30376623376623374</v>
      </c>
      <c r="K15" s="7"/>
      <c r="L15" s="7">
        <f>SUM(L12:L14)</f>
        <v>26958</v>
      </c>
      <c r="M15" s="7">
        <f>SUM(M12:M14)</f>
        <v>39289</v>
      </c>
      <c r="N15" s="7">
        <f>SUM(N12:N14)</f>
        <v>39568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" customFormat="1" x14ac:dyDescent="0.3">
      <c r="B17" s="2" t="s">
        <v>35</v>
      </c>
      <c r="C17" s="7">
        <f t="shared" ref="C17:I17" si="4">0.5*SUM(C5:C16)</f>
        <v>243600</v>
      </c>
      <c r="D17" s="7">
        <f t="shared" si="4"/>
        <v>92683</v>
      </c>
      <c r="E17" s="7">
        <f t="shared" si="4"/>
        <v>348444</v>
      </c>
      <c r="F17" s="7">
        <f t="shared" si="4"/>
        <v>-85000</v>
      </c>
      <c r="G17" s="7">
        <f t="shared" si="4"/>
        <v>263444</v>
      </c>
      <c r="H17" s="7">
        <f t="shared" si="4"/>
        <v>236985</v>
      </c>
      <c r="I17" s="7">
        <f t="shared" si="4"/>
        <v>330938</v>
      </c>
      <c r="J17" s="50">
        <f>IFERROR(I17/E17,"N/A")</f>
        <v>0.94975950224426309</v>
      </c>
      <c r="K17" s="7"/>
      <c r="L17" s="7">
        <f>0.5*SUM(L5:L16)</f>
        <v>355778</v>
      </c>
      <c r="M17" s="7">
        <f>0.5*SUM(M5:M16)</f>
        <v>377974</v>
      </c>
      <c r="N17" s="7">
        <f>0.5*SUM(N5:N16)</f>
        <v>388413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34</v>
      </c>
      <c r="C19" s="7">
        <f t="shared" ref="C19:I19" si="5">SUM(C18:C18)</f>
        <v>0</v>
      </c>
      <c r="D19" s="7">
        <f t="shared" si="5"/>
        <v>0</v>
      </c>
      <c r="E19" s="7">
        <f t="shared" si="5"/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/>
      <c r="K19" s="7"/>
      <c r="L19" s="7">
        <f>SUM(L18:L18)</f>
        <v>0</v>
      </c>
      <c r="M19" s="7">
        <f>SUM(M18:M18)</f>
        <v>0</v>
      </c>
      <c r="N19" s="7">
        <f>SUM(N18:N18)</f>
        <v>0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s="1" customFormat="1" x14ac:dyDescent="0.3">
      <c r="B21" s="2" t="s">
        <v>33</v>
      </c>
      <c r="C21" s="7">
        <f t="shared" ref="C21:I21" si="6">C19+C17</f>
        <v>243600</v>
      </c>
      <c r="D21" s="7">
        <f t="shared" si="6"/>
        <v>92683</v>
      </c>
      <c r="E21" s="7">
        <f t="shared" si="6"/>
        <v>348444</v>
      </c>
      <c r="F21" s="7">
        <f t="shared" si="6"/>
        <v>-85000</v>
      </c>
      <c r="G21" s="7">
        <f t="shared" si="6"/>
        <v>263444</v>
      </c>
      <c r="H21" s="7">
        <f t="shared" si="6"/>
        <v>236985</v>
      </c>
      <c r="I21" s="7">
        <f t="shared" si="6"/>
        <v>330938</v>
      </c>
      <c r="J21" s="50">
        <f>IFERROR(I21/E21,"N/A")</f>
        <v>0.94975950224426309</v>
      </c>
      <c r="K21" s="7"/>
      <c r="L21" s="7">
        <f>L19+L17</f>
        <v>355778</v>
      </c>
      <c r="M21" s="7">
        <f>M19+M17</f>
        <v>377974</v>
      </c>
      <c r="N21" s="7">
        <f>N19+N17</f>
        <v>388413</v>
      </c>
    </row>
  </sheetData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3:N19"/>
  <sheetViews>
    <sheetView topLeftCell="E1" workbookViewId="0">
      <selection activeCell="I8" sqref="I8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38</v>
      </c>
      <c r="C6" s="6">
        <v>400</v>
      </c>
      <c r="D6" s="6">
        <v>0</v>
      </c>
      <c r="E6" s="6">
        <v>400</v>
      </c>
      <c r="F6" s="6">
        <v>0</v>
      </c>
      <c r="G6" s="6">
        <f t="shared" ref="G6:G11" si="0">F6+E6</f>
        <v>400</v>
      </c>
      <c r="H6" s="17">
        <v>400</v>
      </c>
      <c r="I6" s="94">
        <f>ROUND(G6*RPI,0)</f>
        <v>412</v>
      </c>
      <c r="J6" s="49">
        <f>IFERROR(I6/E6,"N/A")</f>
        <v>1.03</v>
      </c>
      <c r="K6" s="6"/>
      <c r="L6" s="6">
        <f>ROUND(I6*RPI,0)</f>
        <v>424</v>
      </c>
      <c r="M6" s="6">
        <f>ROUND(L6*RPI,0)</f>
        <v>437</v>
      </c>
      <c r="N6" s="6">
        <f>ROUND(M6*RPI,0)</f>
        <v>450</v>
      </c>
    </row>
    <row r="7" spans="2:14" x14ac:dyDescent="0.3">
      <c r="B7" s="5" t="s">
        <v>39</v>
      </c>
      <c r="C7" s="6">
        <v>0</v>
      </c>
      <c r="D7" s="6">
        <v>0</v>
      </c>
      <c r="E7" s="6">
        <v>28000</v>
      </c>
      <c r="F7" s="6">
        <v>0</v>
      </c>
      <c r="G7" s="6">
        <f t="shared" si="0"/>
        <v>28000</v>
      </c>
      <c r="H7" s="17">
        <v>1000</v>
      </c>
      <c r="I7" s="91">
        <v>10000</v>
      </c>
      <c r="J7" s="49">
        <f>IFERROR(I7/E7,"N/A")</f>
        <v>0.35714285714285715</v>
      </c>
      <c r="K7" s="6" t="s">
        <v>45</v>
      </c>
      <c r="L7" s="6">
        <v>10000</v>
      </c>
      <c r="M7" s="6">
        <v>10000</v>
      </c>
      <c r="N7" s="6">
        <v>10000</v>
      </c>
    </row>
    <row r="8" spans="2:14" x14ac:dyDescent="0.3">
      <c r="B8" s="5" t="s">
        <v>42</v>
      </c>
      <c r="C8" s="6">
        <v>0</v>
      </c>
      <c r="D8" s="6">
        <v>0</v>
      </c>
      <c r="E8" s="6">
        <v>0</v>
      </c>
      <c r="F8" s="6">
        <v>0</v>
      </c>
      <c r="G8" s="6">
        <f>F8+E8</f>
        <v>0</v>
      </c>
      <c r="H8" s="6">
        <f>G9+G10</f>
        <v>1597</v>
      </c>
      <c r="I8" s="94">
        <v>1645</v>
      </c>
      <c r="J8" s="49" t="str">
        <f>IFERROR(I8/E8,"N/A")</f>
        <v>N/A</v>
      </c>
      <c r="K8" s="6"/>
      <c r="L8" s="6">
        <f>ROUND(I8*RPI,0)</f>
        <v>1694</v>
      </c>
      <c r="M8" s="6">
        <f>ROUND(L8*RPI,0)</f>
        <v>1745</v>
      </c>
      <c r="N8" s="6">
        <f>ROUND(M8*RPI,0)</f>
        <v>1797</v>
      </c>
    </row>
    <row r="9" spans="2:14" x14ac:dyDescent="0.3">
      <c r="B9" s="12" t="s">
        <v>41</v>
      </c>
      <c r="C9" s="13">
        <v>1100</v>
      </c>
      <c r="D9" s="13">
        <v>0</v>
      </c>
      <c r="E9" s="13">
        <v>1133</v>
      </c>
      <c r="F9" s="13">
        <v>0</v>
      </c>
      <c r="G9" s="13">
        <f t="shared" si="0"/>
        <v>1133</v>
      </c>
      <c r="H9" s="13"/>
      <c r="I9" s="13">
        <v>0</v>
      </c>
      <c r="J9" s="13"/>
      <c r="K9" s="13" t="s">
        <v>101</v>
      </c>
      <c r="L9" s="11">
        <v>0</v>
      </c>
      <c r="M9" s="13">
        <v>0</v>
      </c>
      <c r="N9" s="13">
        <v>0</v>
      </c>
    </row>
    <row r="10" spans="2:14" x14ac:dyDescent="0.3">
      <c r="B10" s="12" t="s">
        <v>40</v>
      </c>
      <c r="C10" s="13">
        <v>0</v>
      </c>
      <c r="D10" s="13">
        <v>0</v>
      </c>
      <c r="E10" s="13">
        <v>464</v>
      </c>
      <c r="F10" s="13">
        <v>0</v>
      </c>
      <c r="G10" s="13">
        <f t="shared" si="0"/>
        <v>464</v>
      </c>
      <c r="H10" s="13"/>
      <c r="I10" s="13">
        <v>0</v>
      </c>
      <c r="J10" s="13"/>
      <c r="K10" s="13" t="s">
        <v>101</v>
      </c>
      <c r="L10" s="13">
        <v>0</v>
      </c>
      <c r="M10" s="13">
        <v>0</v>
      </c>
      <c r="N10" s="13">
        <v>0</v>
      </c>
    </row>
    <row r="11" spans="2:14" x14ac:dyDescent="0.3">
      <c r="B11" s="12" t="s">
        <v>43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  <c r="H11" s="13"/>
      <c r="I11" s="13">
        <v>0</v>
      </c>
      <c r="J11" s="13"/>
      <c r="K11" s="13" t="s">
        <v>101</v>
      </c>
      <c r="L11" s="13">
        <v>0</v>
      </c>
      <c r="M11" s="13">
        <v>0</v>
      </c>
      <c r="N11" s="13">
        <v>0</v>
      </c>
    </row>
    <row r="12" spans="2:14" s="1" customFormat="1" x14ac:dyDescent="0.3">
      <c r="B12" s="2" t="s">
        <v>32</v>
      </c>
      <c r="C12" s="7">
        <f t="shared" ref="C12:I12" si="1">SUM(C6:C11)</f>
        <v>1500</v>
      </c>
      <c r="D12" s="7">
        <f t="shared" si="1"/>
        <v>0</v>
      </c>
      <c r="E12" s="7">
        <f t="shared" si="1"/>
        <v>29997</v>
      </c>
      <c r="F12" s="7">
        <f t="shared" si="1"/>
        <v>0</v>
      </c>
      <c r="G12" s="7">
        <f t="shared" si="1"/>
        <v>29997</v>
      </c>
      <c r="H12" s="7">
        <f t="shared" si="1"/>
        <v>2997</v>
      </c>
      <c r="I12" s="7">
        <f t="shared" si="1"/>
        <v>12057</v>
      </c>
      <c r="J12" s="50">
        <f>IFERROR(I12/E12,"N/A")</f>
        <v>0.40194019401940195</v>
      </c>
      <c r="K12" s="7"/>
      <c r="L12" s="7">
        <f>SUM(L6:L11)</f>
        <v>12118</v>
      </c>
      <c r="M12" s="7">
        <f>SUM(M6:M11)</f>
        <v>12182</v>
      </c>
      <c r="N12" s="7">
        <f>SUM(N6:N11)</f>
        <v>12247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s="1" customFormat="1" x14ac:dyDescent="0.3">
      <c r="B14" s="2" t="s">
        <v>35</v>
      </c>
      <c r="C14" s="7">
        <f t="shared" ref="C14:I14" si="2">0.5*SUM(C5:C13)</f>
        <v>1500</v>
      </c>
      <c r="D14" s="7">
        <f t="shared" si="2"/>
        <v>0</v>
      </c>
      <c r="E14" s="7">
        <f t="shared" si="2"/>
        <v>29997</v>
      </c>
      <c r="F14" s="7">
        <f t="shared" si="2"/>
        <v>0</v>
      </c>
      <c r="G14" s="7">
        <f t="shared" si="2"/>
        <v>29997</v>
      </c>
      <c r="H14" s="7">
        <f t="shared" si="2"/>
        <v>2997</v>
      </c>
      <c r="I14" s="7">
        <f t="shared" si="2"/>
        <v>12057</v>
      </c>
      <c r="J14" s="50">
        <f>IFERROR(I14/E14,"N/A")</f>
        <v>0.40194019401940195</v>
      </c>
      <c r="K14" s="7"/>
      <c r="L14" s="7">
        <f>0.5*SUM(L5:L13)</f>
        <v>12118</v>
      </c>
      <c r="M14" s="7">
        <f>0.5*SUM(M5:M13)</f>
        <v>12182</v>
      </c>
      <c r="N14" s="7">
        <f>0.5*SUM(N5:N13)</f>
        <v>12247</v>
      </c>
    </row>
    <row r="15" spans="2:14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x14ac:dyDescent="0.3">
      <c r="B16" s="34" t="s">
        <v>44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/>
      <c r="K16" s="35"/>
      <c r="L16" s="35">
        <v>0</v>
      </c>
      <c r="M16" s="35">
        <v>0</v>
      </c>
      <c r="N16" s="35">
        <v>0</v>
      </c>
    </row>
    <row r="17" spans="2:14" s="1" customFormat="1" x14ac:dyDescent="0.3">
      <c r="B17" s="2" t="s">
        <v>34</v>
      </c>
      <c r="C17" s="7">
        <f t="shared" ref="C17:I17" si="3">SUM(C16:C16)</f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/>
      <c r="K17" s="7"/>
      <c r="L17" s="7">
        <f>SUM(L16:L16)</f>
        <v>0</v>
      </c>
      <c r="M17" s="7">
        <f>SUM(M16:M16)</f>
        <v>0</v>
      </c>
      <c r="N17" s="7">
        <f>SUM(N16:N16)</f>
        <v>0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33</v>
      </c>
      <c r="C19" s="7">
        <f t="shared" ref="C19:I19" si="4">C17+C14</f>
        <v>1500</v>
      </c>
      <c r="D19" s="7">
        <f t="shared" si="4"/>
        <v>0</v>
      </c>
      <c r="E19" s="7">
        <f t="shared" si="4"/>
        <v>29997</v>
      </c>
      <c r="F19" s="7">
        <f t="shared" si="4"/>
        <v>0</v>
      </c>
      <c r="G19" s="7">
        <f t="shared" si="4"/>
        <v>29997</v>
      </c>
      <c r="H19" s="7">
        <f t="shared" si="4"/>
        <v>2997</v>
      </c>
      <c r="I19" s="7">
        <f t="shared" si="4"/>
        <v>12057</v>
      </c>
      <c r="J19" s="50">
        <f>IFERROR(I19/E19,"N/A")</f>
        <v>0.40194019401940195</v>
      </c>
      <c r="K19" s="7"/>
      <c r="L19" s="7">
        <f>L17+L14</f>
        <v>12118</v>
      </c>
      <c r="M19" s="7">
        <f>M17+M14</f>
        <v>12182</v>
      </c>
      <c r="N19" s="7">
        <f>N17+N14</f>
        <v>12247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N15"/>
  <sheetViews>
    <sheetView workbookViewId="0">
      <selection activeCell="H12" sqref="H1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100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17">
        <v>0</v>
      </c>
      <c r="H6" s="17">
        <v>1300</v>
      </c>
      <c r="I6" s="95">
        <f>ROUND(G7*RPI,0)</f>
        <v>1339</v>
      </c>
      <c r="J6" s="51" t="str">
        <f>IFERROR(I6/E6,"N/A")</f>
        <v>N/A</v>
      </c>
      <c r="K6" s="17"/>
      <c r="L6" s="17">
        <f>ROUND(I6*RPI,0)</f>
        <v>1379</v>
      </c>
      <c r="M6" s="17">
        <f>ROUND(L6*RPI,0)</f>
        <v>1420</v>
      </c>
      <c r="N6" s="17">
        <f>ROUND(M6*RPI,0)</f>
        <v>1463</v>
      </c>
    </row>
    <row r="7" spans="2:14" x14ac:dyDescent="0.3">
      <c r="B7" s="12" t="s">
        <v>43</v>
      </c>
      <c r="C7" s="13">
        <v>1300</v>
      </c>
      <c r="D7" s="13">
        <v>0</v>
      </c>
      <c r="E7" s="13">
        <v>1300</v>
      </c>
      <c r="F7" s="13"/>
      <c r="G7" s="13">
        <v>1300</v>
      </c>
      <c r="H7" s="13"/>
      <c r="I7" s="13">
        <v>0</v>
      </c>
      <c r="J7" s="13"/>
      <c r="K7" s="13" t="s">
        <v>101</v>
      </c>
      <c r="L7" s="13"/>
      <c r="M7" s="13"/>
      <c r="N7" s="13"/>
    </row>
    <row r="8" spans="2:14" s="1" customFormat="1" x14ac:dyDescent="0.3">
      <c r="B8" s="2" t="s">
        <v>32</v>
      </c>
      <c r="C8" s="7">
        <f t="shared" ref="C8:I8" si="0">SUM(C5:C7)</f>
        <v>1300</v>
      </c>
      <c r="D8" s="7">
        <f t="shared" si="0"/>
        <v>0</v>
      </c>
      <c r="E8" s="7">
        <f t="shared" si="0"/>
        <v>1300</v>
      </c>
      <c r="F8" s="7">
        <f t="shared" si="0"/>
        <v>0</v>
      </c>
      <c r="G8" s="7">
        <f t="shared" si="0"/>
        <v>1300</v>
      </c>
      <c r="H8" s="7">
        <f t="shared" si="0"/>
        <v>1300</v>
      </c>
      <c r="I8" s="7">
        <f t="shared" si="0"/>
        <v>1339</v>
      </c>
      <c r="J8" s="50">
        <f>IFERROR(I8/E8,"N/A")</f>
        <v>1.03</v>
      </c>
      <c r="K8" s="7"/>
      <c r="L8" s="7">
        <f>SUM(L5:L7)</f>
        <v>1379</v>
      </c>
      <c r="M8" s="7">
        <f>SUM(M5:M7)</f>
        <v>1420</v>
      </c>
      <c r="N8" s="7">
        <f>SUM(N5:N7)</f>
        <v>1463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s="1" customFormat="1" x14ac:dyDescent="0.3">
      <c r="B10" s="2" t="s">
        <v>35</v>
      </c>
      <c r="C10" s="7">
        <f t="shared" ref="C10:I10" si="1">0.5*SUM(C5:C9)</f>
        <v>1300</v>
      </c>
      <c r="D10" s="7">
        <f t="shared" si="1"/>
        <v>0</v>
      </c>
      <c r="E10" s="7">
        <f t="shared" si="1"/>
        <v>1300</v>
      </c>
      <c r="F10" s="7">
        <f t="shared" si="1"/>
        <v>0</v>
      </c>
      <c r="G10" s="7">
        <f t="shared" si="1"/>
        <v>1300</v>
      </c>
      <c r="H10" s="7">
        <f t="shared" si="1"/>
        <v>1300</v>
      </c>
      <c r="I10" s="7">
        <f t="shared" si="1"/>
        <v>1339</v>
      </c>
      <c r="J10" s="50">
        <f>IFERROR(I10/E10,"N/A")</f>
        <v>1.03</v>
      </c>
      <c r="K10" s="7"/>
      <c r="L10" s="7">
        <f>0.5*SUM(L5:L9)</f>
        <v>1379</v>
      </c>
      <c r="M10" s="7">
        <f>0.5*SUM(M5:M9)</f>
        <v>1420</v>
      </c>
      <c r="N10" s="7">
        <f>0.5*SUM(N5:N9)</f>
        <v>1463</v>
      </c>
    </row>
    <row r="11" spans="2:14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32.4" customHeight="1" x14ac:dyDescent="0.3">
      <c r="B12" s="5" t="s">
        <v>85</v>
      </c>
      <c r="C12" s="6">
        <v>-80000</v>
      </c>
      <c r="D12" s="17">
        <v>-94033</v>
      </c>
      <c r="E12" s="6">
        <v>-80000</v>
      </c>
      <c r="F12" s="6"/>
      <c r="G12" s="6">
        <v>-80000</v>
      </c>
      <c r="H12" s="6">
        <v>-94000</v>
      </c>
      <c r="I12" s="90">
        <v>-94000</v>
      </c>
      <c r="J12" s="49">
        <f>IFERROR(I12/E12,"N/A")</f>
        <v>1.175</v>
      </c>
      <c r="K12" s="21" t="s">
        <v>102</v>
      </c>
      <c r="L12" s="6">
        <f>ROUND(I12*RPI,0)</f>
        <v>-96820</v>
      </c>
      <c r="M12" s="6">
        <f>ROUND(L12*RPI,0)</f>
        <v>-99725</v>
      </c>
      <c r="N12" s="6">
        <f>ROUND(M12*RPI,0)</f>
        <v>-102717</v>
      </c>
    </row>
    <row r="13" spans="2:14" s="1" customFormat="1" x14ac:dyDescent="0.3">
      <c r="B13" s="2" t="s">
        <v>34</v>
      </c>
      <c r="C13" s="7">
        <f t="shared" ref="C13:I13" si="2">SUM(C12:C12)</f>
        <v>-80000</v>
      </c>
      <c r="D13" s="7">
        <f t="shared" si="2"/>
        <v>-94033</v>
      </c>
      <c r="E13" s="7">
        <f t="shared" si="2"/>
        <v>-80000</v>
      </c>
      <c r="F13" s="7">
        <f t="shared" si="2"/>
        <v>0</v>
      </c>
      <c r="G13" s="7">
        <f t="shared" si="2"/>
        <v>-80000</v>
      </c>
      <c r="H13" s="7">
        <f t="shared" si="2"/>
        <v>-94000</v>
      </c>
      <c r="I13" s="7">
        <f t="shared" si="2"/>
        <v>-94000</v>
      </c>
      <c r="J13" s="50">
        <f>IFERROR(I13/E13,"N/A")</f>
        <v>1.175</v>
      </c>
      <c r="K13" s="7"/>
      <c r="L13" s="7">
        <f>SUM(L12:L12)</f>
        <v>-96820</v>
      </c>
      <c r="M13" s="7">
        <f>SUM(M12:M12)</f>
        <v>-99725</v>
      </c>
      <c r="N13" s="7">
        <f>SUM(N12:N12)</f>
        <v>-102717</v>
      </c>
    </row>
    <row r="14" spans="2:14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" customFormat="1" x14ac:dyDescent="0.3">
      <c r="B15" s="2" t="s">
        <v>33</v>
      </c>
      <c r="C15" s="7">
        <f t="shared" ref="C15:I15" si="3">C13+C10</f>
        <v>-78700</v>
      </c>
      <c r="D15" s="7">
        <f t="shared" si="3"/>
        <v>-94033</v>
      </c>
      <c r="E15" s="7">
        <f t="shared" si="3"/>
        <v>-78700</v>
      </c>
      <c r="F15" s="7">
        <f t="shared" si="3"/>
        <v>0</v>
      </c>
      <c r="G15" s="7">
        <f t="shared" si="3"/>
        <v>-78700</v>
      </c>
      <c r="H15" s="7">
        <f t="shared" si="3"/>
        <v>-92700</v>
      </c>
      <c r="I15" s="7">
        <f t="shared" si="3"/>
        <v>-92661</v>
      </c>
      <c r="J15" s="50">
        <f>IFERROR(I15/E15,"N/A")</f>
        <v>1.1773951715374842</v>
      </c>
      <c r="K15" s="7"/>
      <c r="L15" s="7">
        <f>L13+L10</f>
        <v>-95441</v>
      </c>
      <c r="M15" s="7">
        <f>M13+M10</f>
        <v>-98305</v>
      </c>
      <c r="N15" s="7">
        <f>N13+N10</f>
        <v>-101254</v>
      </c>
    </row>
  </sheetData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3:N26"/>
  <sheetViews>
    <sheetView topLeftCell="C2" workbookViewId="0">
      <selection activeCell="G27" sqref="G27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1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>
        <v>0</v>
      </c>
      <c r="D6" s="6">
        <v>0</v>
      </c>
      <c r="E6" s="6">
        <v>0</v>
      </c>
      <c r="F6" s="6"/>
      <c r="G6" s="6">
        <v>0</v>
      </c>
      <c r="H6" s="6">
        <v>1385</v>
      </c>
      <c r="I6" s="94">
        <f>ROUND(G7*RPI,0)</f>
        <v>1427</v>
      </c>
      <c r="J6" s="49" t="str">
        <f>IFERROR(I6/E6,"N/A")</f>
        <v>N/A</v>
      </c>
      <c r="K6" s="6"/>
      <c r="L6" s="6">
        <f>ROUND(I6*RPI,0)</f>
        <v>1470</v>
      </c>
      <c r="M6" s="6">
        <f>ROUND(L6*RPI,0)</f>
        <v>1514</v>
      </c>
      <c r="N6" s="6">
        <f>ROUND(M6*RPI,0)</f>
        <v>1559</v>
      </c>
    </row>
    <row r="7" spans="2:14" x14ac:dyDescent="0.3">
      <c r="B7" s="19" t="s">
        <v>41</v>
      </c>
      <c r="C7" s="11">
        <v>0</v>
      </c>
      <c r="D7" s="11">
        <v>0</v>
      </c>
      <c r="E7" s="11">
        <v>1385</v>
      </c>
      <c r="F7" s="11"/>
      <c r="G7" s="11">
        <v>1385</v>
      </c>
      <c r="H7" s="11"/>
      <c r="I7" s="11">
        <v>0</v>
      </c>
      <c r="J7" s="11"/>
      <c r="K7" s="11" t="s">
        <v>101</v>
      </c>
      <c r="L7" s="11">
        <v>0</v>
      </c>
      <c r="M7" s="11">
        <v>0</v>
      </c>
      <c r="N7" s="11">
        <v>0</v>
      </c>
    </row>
    <row r="8" spans="2:14" s="1" customFormat="1" x14ac:dyDescent="0.3">
      <c r="B8" s="2" t="s">
        <v>32</v>
      </c>
      <c r="C8" s="7">
        <f t="shared" ref="C8:I8" si="0">SUM(C6:C7)</f>
        <v>0</v>
      </c>
      <c r="D8" s="7">
        <f t="shared" si="0"/>
        <v>0</v>
      </c>
      <c r="E8" s="7">
        <f t="shared" si="0"/>
        <v>1385</v>
      </c>
      <c r="F8" s="7">
        <f t="shared" si="0"/>
        <v>0</v>
      </c>
      <c r="G8" s="7">
        <f t="shared" si="0"/>
        <v>1385</v>
      </c>
      <c r="H8" s="7">
        <f t="shared" si="0"/>
        <v>1385</v>
      </c>
      <c r="I8" s="7">
        <f t="shared" si="0"/>
        <v>1427</v>
      </c>
      <c r="J8" s="50">
        <f>IFERROR(I8/E8,"N/A")</f>
        <v>1.0303249097472924</v>
      </c>
      <c r="K8" s="7"/>
      <c r="L8" s="7">
        <f>SUM(L6:L7)</f>
        <v>1470</v>
      </c>
      <c r="M8" s="7">
        <f>SUM(M6:M7)</f>
        <v>1514</v>
      </c>
      <c r="N8" s="7">
        <f>SUM(N6:N7)</f>
        <v>1559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12" t="s">
        <v>58</v>
      </c>
      <c r="C10" s="13">
        <v>2400</v>
      </c>
      <c r="D10" s="13">
        <v>0</v>
      </c>
      <c r="E10" s="13">
        <v>0</v>
      </c>
      <c r="F10" s="13"/>
      <c r="G10" s="13">
        <v>0</v>
      </c>
      <c r="H10" s="13">
        <v>0</v>
      </c>
      <c r="I10" s="13">
        <v>0</v>
      </c>
      <c r="J10" s="13"/>
      <c r="K10" s="13" t="s">
        <v>103</v>
      </c>
      <c r="L10" s="13">
        <v>0</v>
      </c>
      <c r="M10" s="13">
        <v>0</v>
      </c>
      <c r="N10" s="13">
        <v>0</v>
      </c>
    </row>
    <row r="11" spans="2:14" s="1" customFormat="1" x14ac:dyDescent="0.3">
      <c r="B11" s="2" t="s">
        <v>32</v>
      </c>
      <c r="C11" s="7">
        <f t="shared" ref="C11:I11" si="1">SUM(C9:C10)</f>
        <v>2400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/>
      <c r="K11" s="7"/>
      <c r="L11" s="7">
        <f>SUM(L9:L10)</f>
        <v>0</v>
      </c>
      <c r="M11" s="7">
        <f>SUM(M9:M10)</f>
        <v>0</v>
      </c>
      <c r="N11" s="7">
        <f>SUM(N9:N10)</f>
        <v>0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59</v>
      </c>
      <c r="C13" s="6">
        <v>0</v>
      </c>
      <c r="D13" s="6">
        <v>0</v>
      </c>
      <c r="E13" s="6">
        <v>0</v>
      </c>
      <c r="F13" s="6">
        <v>25000</v>
      </c>
      <c r="G13" s="6">
        <v>25000</v>
      </c>
      <c r="H13" s="17"/>
      <c r="I13" s="91">
        <f>'CTax Options'!M5-'CTax Options'!N5</f>
        <v>0</v>
      </c>
      <c r="J13" s="52" t="str">
        <f>IFERROR(I13/E13,"N/A")</f>
        <v>N/A</v>
      </c>
      <c r="K13" s="6"/>
      <c r="L13" s="6">
        <v>25000</v>
      </c>
      <c r="M13" s="6">
        <v>25000</v>
      </c>
      <c r="N13" s="6">
        <v>25000</v>
      </c>
    </row>
    <row r="14" spans="2:14" s="1" customFormat="1" x14ac:dyDescent="0.3">
      <c r="B14" s="2" t="s">
        <v>32</v>
      </c>
      <c r="C14" s="7">
        <f t="shared" ref="C14:I14" si="2">SUM(C12:C13)</f>
        <v>0</v>
      </c>
      <c r="D14" s="7">
        <f t="shared" si="2"/>
        <v>0</v>
      </c>
      <c r="E14" s="7">
        <f t="shared" si="2"/>
        <v>0</v>
      </c>
      <c r="F14" s="7">
        <f t="shared" si="2"/>
        <v>25000</v>
      </c>
      <c r="G14" s="7">
        <f t="shared" si="2"/>
        <v>25000</v>
      </c>
      <c r="H14" s="20">
        <f t="shared" si="2"/>
        <v>0</v>
      </c>
      <c r="I14" s="20">
        <f t="shared" si="2"/>
        <v>0</v>
      </c>
      <c r="J14" s="53" t="str">
        <f>IFERROR(I14/E14,"N/A")</f>
        <v>N/A</v>
      </c>
      <c r="K14" s="7"/>
      <c r="L14" s="7">
        <f>SUM(L12:L13)</f>
        <v>25000</v>
      </c>
      <c r="M14" s="7">
        <f>SUM(M12:M13)</f>
        <v>25000</v>
      </c>
      <c r="N14" s="7">
        <f>SUM(N12:N13)</f>
        <v>25000</v>
      </c>
    </row>
    <row r="15" spans="2:14" x14ac:dyDescent="0.3">
      <c r="B15" s="5"/>
      <c r="C15" s="6"/>
      <c r="D15" s="6"/>
      <c r="E15" s="6"/>
      <c r="F15" s="6"/>
      <c r="G15" s="6"/>
      <c r="H15" s="17"/>
      <c r="I15" s="17"/>
      <c r="J15" s="17"/>
      <c r="K15" s="6"/>
      <c r="L15" s="6"/>
      <c r="M15" s="6"/>
      <c r="N15" s="6"/>
    </row>
    <row r="16" spans="2:14" x14ac:dyDescent="0.3">
      <c r="B16" s="5" t="s">
        <v>60</v>
      </c>
      <c r="C16" s="6">
        <v>290000</v>
      </c>
      <c r="D16" s="6">
        <v>278140</v>
      </c>
      <c r="E16" s="6">
        <v>262787</v>
      </c>
      <c r="F16" s="6"/>
      <c r="G16" s="6">
        <v>262787</v>
      </c>
      <c r="H16" s="17">
        <f>G16*700000/737428</f>
        <v>249449.30216916092</v>
      </c>
      <c r="I16" s="93">
        <v>302900</v>
      </c>
      <c r="J16" s="52">
        <f>IFERROR(I16/E16,"N/A")</f>
        <v>1.1526445372107448</v>
      </c>
      <c r="K16" s="6"/>
      <c r="L16" s="6">
        <f>ROUND(I16*RPI,0)</f>
        <v>311987</v>
      </c>
      <c r="M16" s="6">
        <f>ROUND(L16*RPI,0)</f>
        <v>321347</v>
      </c>
      <c r="N16" s="6">
        <f>ROUND(M16*RPI,0)</f>
        <v>330987</v>
      </c>
    </row>
    <row r="17" spans="2:14" s="1" customFormat="1" x14ac:dyDescent="0.3">
      <c r="B17" s="2" t="s">
        <v>32</v>
      </c>
      <c r="C17" s="7">
        <f t="shared" ref="C17:I17" si="3">SUM(C15:C16)</f>
        <v>290000</v>
      </c>
      <c r="D17" s="7">
        <f t="shared" si="3"/>
        <v>278140</v>
      </c>
      <c r="E17" s="7">
        <f t="shared" si="3"/>
        <v>262787</v>
      </c>
      <c r="F17" s="7">
        <f t="shared" si="3"/>
        <v>0</v>
      </c>
      <c r="G17" s="7">
        <f t="shared" si="3"/>
        <v>262787</v>
      </c>
      <c r="H17" s="20">
        <f t="shared" si="3"/>
        <v>249449.30216916092</v>
      </c>
      <c r="I17" s="20">
        <f t="shared" si="3"/>
        <v>302900</v>
      </c>
      <c r="J17" s="53">
        <f>IFERROR(I17/E17,"N/A")</f>
        <v>1.1526445372107448</v>
      </c>
      <c r="K17" s="7"/>
      <c r="L17" s="7">
        <f>SUM(L15:L16)</f>
        <v>311987</v>
      </c>
      <c r="M17" s="7">
        <f>SUM(M15:M16)</f>
        <v>321347</v>
      </c>
      <c r="N17" s="7">
        <f>SUM(N15:N16)</f>
        <v>330987</v>
      </c>
    </row>
    <row r="18" spans="2:14" x14ac:dyDescent="0.3">
      <c r="B18" s="5"/>
      <c r="C18" s="6"/>
      <c r="D18" s="6"/>
      <c r="E18" s="6"/>
      <c r="F18" s="6"/>
      <c r="G18" s="6"/>
      <c r="H18" s="17"/>
      <c r="I18" s="17"/>
      <c r="J18" s="17"/>
      <c r="K18" s="6"/>
      <c r="L18" s="6"/>
      <c r="M18" s="6"/>
      <c r="N18" s="6"/>
    </row>
    <row r="19" spans="2:14" s="1" customFormat="1" x14ac:dyDescent="0.3">
      <c r="B19" s="2" t="s">
        <v>35</v>
      </c>
      <c r="C19" s="7">
        <f t="shared" ref="C19:I19" si="4">0.5*SUM(C5:C18)</f>
        <v>292400</v>
      </c>
      <c r="D19" s="7">
        <f t="shared" si="4"/>
        <v>278140</v>
      </c>
      <c r="E19" s="7">
        <f t="shared" si="4"/>
        <v>264172</v>
      </c>
      <c r="F19" s="7">
        <f t="shared" si="4"/>
        <v>25000</v>
      </c>
      <c r="G19" s="7">
        <f t="shared" si="4"/>
        <v>289172</v>
      </c>
      <c r="H19" s="20">
        <f t="shared" si="4"/>
        <v>250834.30216916092</v>
      </c>
      <c r="I19" s="20">
        <f t="shared" si="4"/>
        <v>304327</v>
      </c>
      <c r="J19" s="53">
        <f>IFERROR(I19/E19,"N/A")</f>
        <v>1.1520032403131293</v>
      </c>
      <c r="K19" s="7"/>
      <c r="L19" s="7">
        <f>0.5*SUM(L5:L18)</f>
        <v>338457</v>
      </c>
      <c r="M19" s="7">
        <f>0.5*SUM(M5:M18)</f>
        <v>347861</v>
      </c>
      <c r="N19" s="7">
        <f>0.5*SUM(N5:N18)</f>
        <v>357546</v>
      </c>
    </row>
    <row r="20" spans="2:14" x14ac:dyDescent="0.3">
      <c r="B20" s="5"/>
      <c r="C20" s="6"/>
      <c r="D20" s="6"/>
      <c r="E20" s="6"/>
      <c r="F20" s="6"/>
      <c r="G20" s="6"/>
      <c r="H20" s="17"/>
      <c r="I20" s="17"/>
      <c r="J20" s="17"/>
      <c r="K20" s="6"/>
      <c r="L20" s="6"/>
      <c r="M20" s="6"/>
      <c r="N20" s="6"/>
    </row>
    <row r="21" spans="2:14" x14ac:dyDescent="0.3">
      <c r="B21" s="5" t="s">
        <v>61</v>
      </c>
      <c r="C21" s="6"/>
      <c r="D21" s="6"/>
      <c r="E21" s="6"/>
      <c r="F21" s="6"/>
      <c r="G21" s="6"/>
      <c r="H21" s="17"/>
      <c r="I21" s="93">
        <v>-4300</v>
      </c>
      <c r="J21" s="17"/>
      <c r="K21" s="6"/>
      <c r="L21" s="93">
        <v>-4300</v>
      </c>
      <c r="M21" s="93">
        <v>-4300</v>
      </c>
      <c r="N21" s="93">
        <v>-4300</v>
      </c>
    </row>
    <row r="22" spans="2:14" s="1" customFormat="1" x14ac:dyDescent="0.3">
      <c r="B22" s="2" t="s">
        <v>34</v>
      </c>
      <c r="C22" s="7">
        <f t="shared" ref="C22:I22" si="5">SUM(C21:C21)</f>
        <v>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-4300</v>
      </c>
      <c r="J22" s="7"/>
      <c r="K22" s="7"/>
      <c r="L22" s="7">
        <f>SUM(L21:L21)</f>
        <v>-4300</v>
      </c>
      <c r="M22" s="7">
        <f>SUM(M21:M21)</f>
        <v>-4300</v>
      </c>
      <c r="N22" s="7">
        <f>SUM(N21:N21)</f>
        <v>-4300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6">C22+C19</f>
        <v>292400</v>
      </c>
      <c r="D24" s="7">
        <f t="shared" si="6"/>
        <v>278140</v>
      </c>
      <c r="E24" s="7">
        <f t="shared" si="6"/>
        <v>264172</v>
      </c>
      <c r="F24" s="7">
        <f t="shared" si="6"/>
        <v>25000</v>
      </c>
      <c r="G24" s="7">
        <f t="shared" si="6"/>
        <v>289172</v>
      </c>
      <c r="H24" s="7">
        <f t="shared" si="6"/>
        <v>250834.30216916092</v>
      </c>
      <c r="I24" s="7">
        <f t="shared" si="6"/>
        <v>300027</v>
      </c>
      <c r="J24" s="50">
        <f>IFERROR(I24/E24,"N/A")</f>
        <v>1.1357259664158199</v>
      </c>
      <c r="K24" s="7"/>
      <c r="L24" s="7">
        <f>L22+L19</f>
        <v>334157</v>
      </c>
      <c r="M24" s="7">
        <f>M22+M19</f>
        <v>343561</v>
      </c>
      <c r="N24" s="7">
        <f>N22+N19</f>
        <v>353246</v>
      </c>
    </row>
    <row r="26" spans="2:14" x14ac:dyDescent="0.3">
      <c r="I26" s="24"/>
    </row>
  </sheetData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N26"/>
  <sheetViews>
    <sheetView topLeftCell="F1" workbookViewId="0">
      <selection activeCell="G29" sqref="G29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4" s="1" customFormat="1" ht="43.2" x14ac:dyDescent="0.3">
      <c r="B3" s="2" t="s">
        <v>2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62</v>
      </c>
      <c r="C6" s="6">
        <v>0</v>
      </c>
      <c r="D6" s="6">
        <v>5000</v>
      </c>
      <c r="E6" s="6">
        <v>0</v>
      </c>
      <c r="F6" s="6">
        <v>10000</v>
      </c>
      <c r="G6" s="6">
        <v>10000</v>
      </c>
      <c r="H6" s="17"/>
      <c r="I6" s="91">
        <f>'CTax Options'!M6-'CTax Options'!N6</f>
        <v>10000</v>
      </c>
      <c r="J6" s="49" t="str">
        <f>IFERROR(I6/E6,"N/A")</f>
        <v>N/A</v>
      </c>
      <c r="K6" s="6"/>
      <c r="L6" s="6">
        <v>10000</v>
      </c>
      <c r="M6" s="6">
        <v>10000</v>
      </c>
      <c r="N6" s="6">
        <v>10000</v>
      </c>
    </row>
    <row r="7" spans="2:14" x14ac:dyDescent="0.3">
      <c r="B7" s="5" t="s">
        <v>106</v>
      </c>
      <c r="C7" s="6">
        <v>4800</v>
      </c>
      <c r="D7" s="6">
        <f>5075+0+215</f>
        <v>5290</v>
      </c>
      <c r="E7" s="6">
        <v>4800</v>
      </c>
      <c r="F7" s="6"/>
      <c r="G7" s="6">
        <v>4800</v>
      </c>
      <c r="H7" s="6">
        <v>5248</v>
      </c>
      <c r="I7" s="91">
        <f>'CTax Options'!M7-'CTax Options'!N7</f>
        <v>7800</v>
      </c>
      <c r="J7" s="49">
        <f>IFERROR(I7/E7,"N/A")</f>
        <v>1.625</v>
      </c>
      <c r="K7" s="6"/>
      <c r="L7" s="6">
        <f>ROUND(I7*RPI,0)</f>
        <v>8034</v>
      </c>
      <c r="M7" s="6">
        <f>ROUND(L7*RPI,0)</f>
        <v>8275</v>
      </c>
      <c r="N7" s="6">
        <f>ROUND(M7*RPI,0)</f>
        <v>8523</v>
      </c>
    </row>
    <row r="8" spans="2:14" s="1" customFormat="1" x14ac:dyDescent="0.3">
      <c r="B8" s="2" t="s">
        <v>32</v>
      </c>
      <c r="C8" s="7">
        <f t="shared" ref="C8:I8" si="0">SUM(C6:C7)</f>
        <v>4800</v>
      </c>
      <c r="D8" s="7">
        <f t="shared" si="0"/>
        <v>10290</v>
      </c>
      <c r="E8" s="7">
        <f t="shared" si="0"/>
        <v>4800</v>
      </c>
      <c r="F8" s="7">
        <f t="shared" si="0"/>
        <v>10000</v>
      </c>
      <c r="G8" s="7">
        <f t="shared" si="0"/>
        <v>14800</v>
      </c>
      <c r="H8" s="7">
        <f t="shared" si="0"/>
        <v>5248</v>
      </c>
      <c r="I8" s="7">
        <f t="shared" si="0"/>
        <v>17800</v>
      </c>
      <c r="J8" s="50">
        <f>IFERROR(I8/E8,"N/A")</f>
        <v>3.7083333333333335</v>
      </c>
      <c r="K8" s="7"/>
      <c r="L8" s="7">
        <f>SUM(L6:L7)</f>
        <v>18034</v>
      </c>
      <c r="M8" s="7">
        <f>SUM(M6:M7)</f>
        <v>18275</v>
      </c>
      <c r="N8" s="7">
        <f>SUM(N6:N7)</f>
        <v>18523</v>
      </c>
    </row>
    <row r="9" spans="2:14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3">
      <c r="B10" s="5" t="s">
        <v>63</v>
      </c>
      <c r="C10" s="6">
        <v>7000</v>
      </c>
      <c r="D10" s="6">
        <v>396</v>
      </c>
      <c r="E10" s="6">
        <v>7000</v>
      </c>
      <c r="F10" s="6"/>
      <c r="G10" s="6">
        <v>7000</v>
      </c>
      <c r="H10" s="6">
        <v>7000</v>
      </c>
      <c r="I10" s="91">
        <f>'CTax Options'!M8-'CTax Options'!N8</f>
        <v>7000</v>
      </c>
      <c r="J10" s="49">
        <f>IFERROR(I10/E10,"N/A")</f>
        <v>1</v>
      </c>
      <c r="K10" s="16"/>
      <c r="L10" s="6">
        <v>7000</v>
      </c>
      <c r="M10" s="6">
        <v>7000</v>
      </c>
      <c r="N10" s="6">
        <v>7000</v>
      </c>
    </row>
    <row r="11" spans="2:14" x14ac:dyDescent="0.3">
      <c r="B11" s="5" t="s">
        <v>64</v>
      </c>
      <c r="C11" s="6">
        <v>0</v>
      </c>
      <c r="D11" s="6"/>
      <c r="E11" s="6">
        <v>0</v>
      </c>
      <c r="F11" s="6"/>
      <c r="G11" s="6">
        <v>0</v>
      </c>
      <c r="H11" s="6"/>
      <c r="I11" s="91">
        <f>'CTax Options'!M9-'CTax Options'!N9</f>
        <v>4000</v>
      </c>
      <c r="J11" s="49" t="str">
        <f>IFERROR(I11/E11,"N/A")</f>
        <v>N/A</v>
      </c>
      <c r="K11" s="6"/>
      <c r="L11" s="6">
        <v>4000</v>
      </c>
      <c r="M11" s="6">
        <v>4000</v>
      </c>
      <c r="N11" s="6">
        <v>4000</v>
      </c>
    </row>
    <row r="12" spans="2:14" s="1" customFormat="1" x14ac:dyDescent="0.3">
      <c r="B12" s="2" t="s">
        <v>32</v>
      </c>
      <c r="C12" s="7">
        <f t="shared" ref="C12:I12" si="1">SUM(C9:C11)</f>
        <v>7000</v>
      </c>
      <c r="D12" s="7">
        <f t="shared" si="1"/>
        <v>396</v>
      </c>
      <c r="E12" s="7">
        <f t="shared" si="1"/>
        <v>7000</v>
      </c>
      <c r="F12" s="7">
        <f t="shared" si="1"/>
        <v>0</v>
      </c>
      <c r="G12" s="7">
        <f t="shared" si="1"/>
        <v>7000</v>
      </c>
      <c r="H12" s="7">
        <f t="shared" si="1"/>
        <v>7000</v>
      </c>
      <c r="I12" s="7">
        <f t="shared" si="1"/>
        <v>11000</v>
      </c>
      <c r="J12" s="50">
        <f>IFERROR(I12/E12,"N/A")</f>
        <v>1.5714285714285714</v>
      </c>
      <c r="K12" s="7"/>
      <c r="L12" s="7">
        <f>SUM(L9:L11)</f>
        <v>11000</v>
      </c>
      <c r="M12" s="7">
        <f>SUM(M9:M11)</f>
        <v>11000</v>
      </c>
      <c r="N12" s="7">
        <f>SUM(N9:N11)</f>
        <v>11000</v>
      </c>
    </row>
    <row r="13" spans="2:14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5" t="s">
        <v>65</v>
      </c>
      <c r="C14" s="6">
        <v>0</v>
      </c>
      <c r="D14" s="6">
        <v>500</v>
      </c>
      <c r="E14" s="6">
        <v>50000</v>
      </c>
      <c r="F14" s="6">
        <v>-10000</v>
      </c>
      <c r="G14" s="6">
        <v>40000</v>
      </c>
      <c r="H14" s="6">
        <f>6038*3/2</f>
        <v>9057</v>
      </c>
      <c r="I14" s="91">
        <f>'CTax Options'!M10-'CTax Options'!N10</f>
        <v>30000</v>
      </c>
      <c r="J14" s="49">
        <f>IFERROR(I14/E14,"N/A")</f>
        <v>0.6</v>
      </c>
      <c r="K14" s="6"/>
      <c r="L14" s="6">
        <v>40000</v>
      </c>
      <c r="M14" s="6">
        <v>40000</v>
      </c>
      <c r="N14" s="6">
        <v>40000</v>
      </c>
    </row>
    <row r="15" spans="2:14" s="1" customFormat="1" x14ac:dyDescent="0.3">
      <c r="B15" s="2" t="s">
        <v>32</v>
      </c>
      <c r="C15" s="7">
        <f t="shared" ref="C15:I15" si="2">SUM(C13:C14)</f>
        <v>0</v>
      </c>
      <c r="D15" s="7">
        <f t="shared" si="2"/>
        <v>500</v>
      </c>
      <c r="E15" s="7">
        <f t="shared" si="2"/>
        <v>50000</v>
      </c>
      <c r="F15" s="7">
        <f t="shared" si="2"/>
        <v>-10000</v>
      </c>
      <c r="G15" s="7">
        <f t="shared" si="2"/>
        <v>40000</v>
      </c>
      <c r="H15" s="7">
        <f t="shared" si="2"/>
        <v>9057</v>
      </c>
      <c r="I15" s="7">
        <f t="shared" si="2"/>
        <v>30000</v>
      </c>
      <c r="J15" s="50">
        <f>IFERROR(I15/E15,"N/A")</f>
        <v>0.6</v>
      </c>
      <c r="K15" s="7"/>
      <c r="L15" s="7">
        <f>SUM(L13:L14)</f>
        <v>40000</v>
      </c>
      <c r="M15" s="7">
        <f>SUM(M13:M14)</f>
        <v>40000</v>
      </c>
      <c r="N15" s="7">
        <f>SUM(N13:N14)</f>
        <v>40000</v>
      </c>
    </row>
    <row r="16" spans="2:14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s="10" customFormat="1" x14ac:dyDescent="0.3">
      <c r="B17" s="34" t="s">
        <v>41</v>
      </c>
      <c r="C17" s="35">
        <v>1100</v>
      </c>
      <c r="D17" s="35">
        <v>0</v>
      </c>
      <c r="E17" s="35">
        <v>1133</v>
      </c>
      <c r="F17" s="35"/>
      <c r="G17" s="35">
        <v>1133</v>
      </c>
      <c r="H17" s="35">
        <v>1133</v>
      </c>
      <c r="I17" s="35">
        <v>0</v>
      </c>
      <c r="J17" s="35"/>
      <c r="K17" s="35" t="s">
        <v>101</v>
      </c>
      <c r="L17" s="35">
        <v>0</v>
      </c>
      <c r="M17" s="35">
        <v>0</v>
      </c>
      <c r="N17" s="35">
        <v>0</v>
      </c>
    </row>
    <row r="18" spans="2:14" s="10" customFormat="1" ht="28.8" x14ac:dyDescent="0.3">
      <c r="B18" s="37" t="s">
        <v>42</v>
      </c>
      <c r="C18" s="17"/>
      <c r="D18" s="17">
        <v>0</v>
      </c>
      <c r="E18" s="17"/>
      <c r="F18" s="17"/>
      <c r="G18" s="17"/>
      <c r="H18" s="17"/>
      <c r="I18" s="94">
        <f>ROUND(G17*RPI,0)</f>
        <v>1167</v>
      </c>
      <c r="J18" s="52" t="str">
        <f>IFERROR(I18/E18,"N/A")</f>
        <v>N/A</v>
      </c>
      <c r="K18" s="21" t="s">
        <v>107</v>
      </c>
      <c r="L18" s="17">
        <f>ROUND(I18*RPI,0)</f>
        <v>1202</v>
      </c>
      <c r="M18" s="17">
        <f>ROUND(L18*RPI,0)</f>
        <v>1238</v>
      </c>
      <c r="N18" s="17">
        <f>ROUND(M18*RPI,0)</f>
        <v>1275</v>
      </c>
    </row>
    <row r="19" spans="2:14" s="1" customFormat="1" x14ac:dyDescent="0.3">
      <c r="B19" s="2" t="s">
        <v>32</v>
      </c>
      <c r="C19" s="7">
        <f t="shared" ref="C19:I19" si="3">SUM(C16:C18)</f>
        <v>1100</v>
      </c>
      <c r="D19" s="7">
        <f t="shared" si="3"/>
        <v>0</v>
      </c>
      <c r="E19" s="7">
        <f t="shared" si="3"/>
        <v>1133</v>
      </c>
      <c r="F19" s="7">
        <f t="shared" si="3"/>
        <v>0</v>
      </c>
      <c r="G19" s="7">
        <f t="shared" si="3"/>
        <v>1133</v>
      </c>
      <c r="H19" s="7">
        <f t="shared" si="3"/>
        <v>1133</v>
      </c>
      <c r="I19" s="7">
        <f t="shared" si="3"/>
        <v>1167</v>
      </c>
      <c r="J19" s="50">
        <f>IFERROR(I19/E19,"N/A")</f>
        <v>1.0300088261253311</v>
      </c>
      <c r="K19" s="20"/>
      <c r="L19" s="7">
        <f>SUM(L16:L18)</f>
        <v>1202</v>
      </c>
      <c r="M19" s="7">
        <f>SUM(M16:M18)</f>
        <v>1238</v>
      </c>
      <c r="N19" s="7">
        <f>SUM(N16:N18)</f>
        <v>1275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17"/>
      <c r="L20" s="6"/>
      <c r="M20" s="6"/>
      <c r="N20" s="6"/>
    </row>
    <row r="21" spans="2:14" s="1" customFormat="1" x14ac:dyDescent="0.3">
      <c r="B21" s="2" t="s">
        <v>35</v>
      </c>
      <c r="C21" s="7">
        <f t="shared" ref="C21:I21" si="4">0.5*SUM(C5:C20)</f>
        <v>12900</v>
      </c>
      <c r="D21" s="7">
        <f t="shared" si="4"/>
        <v>11186</v>
      </c>
      <c r="E21" s="7">
        <f t="shared" si="4"/>
        <v>62933</v>
      </c>
      <c r="F21" s="7">
        <f t="shared" si="4"/>
        <v>0</v>
      </c>
      <c r="G21" s="7">
        <f t="shared" si="4"/>
        <v>62933</v>
      </c>
      <c r="H21" s="7">
        <f t="shared" si="4"/>
        <v>22438</v>
      </c>
      <c r="I21" s="7">
        <f t="shared" si="4"/>
        <v>59967</v>
      </c>
      <c r="J21" s="50">
        <f>IFERROR(I21/E21,"N/A")</f>
        <v>0.95287051308534476</v>
      </c>
      <c r="K21" s="20"/>
      <c r="L21" s="7">
        <f>0.5*SUM(L5:L20)</f>
        <v>70236</v>
      </c>
      <c r="M21" s="7">
        <f>0.5*SUM(M5:M20)</f>
        <v>70513</v>
      </c>
      <c r="N21" s="7">
        <f>0.5*SUM(N5:N20)</f>
        <v>70798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17"/>
      <c r="L22" s="6"/>
      <c r="M22" s="6"/>
      <c r="N22" s="6"/>
    </row>
    <row r="23" spans="2:14" ht="28.8" x14ac:dyDescent="0.3">
      <c r="B23" s="34" t="s">
        <v>44</v>
      </c>
      <c r="C23" s="35">
        <v>-5300</v>
      </c>
      <c r="D23" s="35">
        <v>0</v>
      </c>
      <c r="E23" s="35">
        <v>-5300</v>
      </c>
      <c r="F23" s="35"/>
      <c r="G23" s="35">
        <v>-5300</v>
      </c>
      <c r="H23" s="35">
        <v>0</v>
      </c>
      <c r="I23" s="35">
        <v>0</v>
      </c>
      <c r="J23" s="35"/>
      <c r="K23" s="86" t="s">
        <v>236</v>
      </c>
      <c r="L23" s="35">
        <f>ROUND(I23*RPI,0)</f>
        <v>0</v>
      </c>
      <c r="M23" s="35">
        <f>ROUND(L23*RPI,0)</f>
        <v>0</v>
      </c>
      <c r="N23" s="35">
        <f>ROUND(M23*RPI,0)</f>
        <v>0</v>
      </c>
    </row>
    <row r="24" spans="2:14" s="1" customFormat="1" x14ac:dyDescent="0.3">
      <c r="B24" s="2" t="s">
        <v>34</v>
      </c>
      <c r="C24" s="7">
        <f t="shared" ref="C24:I24" si="5">SUM(C23:C23)</f>
        <v>-5300</v>
      </c>
      <c r="D24" s="7">
        <f t="shared" si="5"/>
        <v>0</v>
      </c>
      <c r="E24" s="7">
        <f t="shared" si="5"/>
        <v>-5300</v>
      </c>
      <c r="F24" s="7">
        <f t="shared" si="5"/>
        <v>0</v>
      </c>
      <c r="G24" s="7">
        <f t="shared" si="5"/>
        <v>-5300</v>
      </c>
      <c r="H24" s="7">
        <f t="shared" si="5"/>
        <v>0</v>
      </c>
      <c r="I24" s="7">
        <f t="shared" si="5"/>
        <v>0</v>
      </c>
      <c r="J24" s="7"/>
      <c r="K24" s="20"/>
      <c r="L24" s="7">
        <f>SUM(L23:L23)</f>
        <v>0</v>
      </c>
      <c r="M24" s="7">
        <f>SUM(M23:M23)</f>
        <v>0</v>
      </c>
      <c r="N24" s="7">
        <f>SUM(N23:N23)</f>
        <v>0</v>
      </c>
    </row>
    <row r="25" spans="2:14" x14ac:dyDescent="0.3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s="1" customFormat="1" x14ac:dyDescent="0.3">
      <c r="B26" s="2" t="s">
        <v>33</v>
      </c>
      <c r="C26" s="7">
        <f t="shared" ref="C26:I26" si="6">C24+C21</f>
        <v>7600</v>
      </c>
      <c r="D26" s="7">
        <f t="shared" si="6"/>
        <v>11186</v>
      </c>
      <c r="E26" s="7">
        <f t="shared" si="6"/>
        <v>57633</v>
      </c>
      <c r="F26" s="7">
        <f t="shared" si="6"/>
        <v>0</v>
      </c>
      <c r="G26" s="7">
        <f t="shared" si="6"/>
        <v>57633</v>
      </c>
      <c r="H26" s="7">
        <f t="shared" si="6"/>
        <v>22438</v>
      </c>
      <c r="I26" s="7">
        <f t="shared" si="6"/>
        <v>59967</v>
      </c>
      <c r="J26" s="50">
        <f>IFERROR(I26/E26,"N/A")</f>
        <v>1.040497631565249</v>
      </c>
      <c r="K26" s="7"/>
      <c r="L26" s="7">
        <f>L24+L21</f>
        <v>70236</v>
      </c>
      <c r="M26" s="7">
        <f>M24+M21</f>
        <v>70513</v>
      </c>
      <c r="N26" s="7">
        <f>N24+N21</f>
        <v>70798</v>
      </c>
    </row>
  </sheetData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3:O24"/>
  <sheetViews>
    <sheetView topLeftCell="C1" workbookViewId="0">
      <selection activeCell="D12" sqref="D12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7.77734375" customWidth="1"/>
    <col min="12" max="14" width="12.21875" customWidth="1"/>
  </cols>
  <sheetData>
    <row r="3" spans="2:15" s="1" customFormat="1" ht="43.2" x14ac:dyDescent="0.3">
      <c r="B3" s="2" t="s">
        <v>3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5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5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5" x14ac:dyDescent="0.3">
      <c r="B6" s="5" t="s">
        <v>66</v>
      </c>
      <c r="C6" s="6">
        <v>0</v>
      </c>
      <c r="D6" s="6">
        <v>0</v>
      </c>
      <c r="E6" s="6">
        <v>0</v>
      </c>
      <c r="F6" s="6"/>
      <c r="G6" s="6">
        <v>0</v>
      </c>
      <c r="H6" s="6">
        <v>0</v>
      </c>
      <c r="I6" s="90">
        <v>0</v>
      </c>
      <c r="J6" s="6"/>
      <c r="K6" s="6"/>
      <c r="L6" s="6">
        <v>0</v>
      </c>
      <c r="M6" s="6">
        <v>0</v>
      </c>
      <c r="N6" s="6">
        <v>0</v>
      </c>
    </row>
    <row r="7" spans="2:15" x14ac:dyDescent="0.3">
      <c r="B7" s="5" t="s">
        <v>38</v>
      </c>
      <c r="C7" s="6">
        <v>5100</v>
      </c>
      <c r="D7" s="6">
        <v>0</v>
      </c>
      <c r="E7" s="6">
        <v>10000</v>
      </c>
      <c r="F7" s="6"/>
      <c r="G7" s="6">
        <v>10000</v>
      </c>
      <c r="H7" s="6">
        <v>15000</v>
      </c>
      <c r="I7" s="91">
        <v>10000</v>
      </c>
      <c r="J7" s="49">
        <f>IFERROR(I7/E7,"N/A")</f>
        <v>1</v>
      </c>
      <c r="K7" s="6"/>
      <c r="L7" s="6">
        <f>ROUND(I7*RPI,0)</f>
        <v>10300</v>
      </c>
      <c r="M7" s="6">
        <f>ROUND(L7*RPI,0)</f>
        <v>10609</v>
      </c>
      <c r="N7" s="6">
        <f>ROUND(M7*RPI,0)</f>
        <v>10927</v>
      </c>
    </row>
    <row r="8" spans="2:15" s="10" customFormat="1" x14ac:dyDescent="0.3">
      <c r="B8" s="37" t="s">
        <v>67</v>
      </c>
      <c r="C8" s="17">
        <v>0</v>
      </c>
      <c r="D8" s="17">
        <v>0</v>
      </c>
      <c r="E8" s="17">
        <v>0</v>
      </c>
      <c r="F8" s="17"/>
      <c r="G8" s="17">
        <v>0</v>
      </c>
      <c r="H8" s="17">
        <v>0</v>
      </c>
      <c r="I8" s="92">
        <v>0</v>
      </c>
      <c r="J8" s="52" t="str">
        <f>IFERROR(I8/E8,"N/A")</f>
        <v>N/A</v>
      </c>
      <c r="K8" s="17"/>
      <c r="L8" s="17">
        <v>2800</v>
      </c>
      <c r="M8" s="17">
        <v>3500</v>
      </c>
      <c r="N8" s="17">
        <v>3500</v>
      </c>
      <c r="O8"/>
    </row>
    <row r="9" spans="2:15" x14ac:dyDescent="0.3">
      <c r="B9" s="12" t="s">
        <v>58</v>
      </c>
      <c r="C9" s="13">
        <v>4000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103</v>
      </c>
      <c r="L9" s="13">
        <v>0</v>
      </c>
      <c r="M9" s="13">
        <v>0</v>
      </c>
      <c r="N9" s="13">
        <v>0</v>
      </c>
    </row>
    <row r="10" spans="2:15" s="1" customFormat="1" x14ac:dyDescent="0.3">
      <c r="B10" s="2" t="s">
        <v>32</v>
      </c>
      <c r="C10" s="7">
        <f t="shared" ref="C10:I10" si="0">SUM(C6:C9)</f>
        <v>9100</v>
      </c>
      <c r="D10" s="7">
        <f t="shared" si="0"/>
        <v>0</v>
      </c>
      <c r="E10" s="7">
        <f t="shared" si="0"/>
        <v>10000</v>
      </c>
      <c r="F10" s="7">
        <f t="shared" si="0"/>
        <v>0</v>
      </c>
      <c r="G10" s="7">
        <f t="shared" si="0"/>
        <v>10000</v>
      </c>
      <c r="H10" s="7">
        <f t="shared" si="0"/>
        <v>15000</v>
      </c>
      <c r="I10" s="7">
        <f t="shared" si="0"/>
        <v>10000</v>
      </c>
      <c r="J10" s="50">
        <f>IFERROR(I10/E10,"N/A")</f>
        <v>1</v>
      </c>
      <c r="K10" s="7"/>
      <c r="L10" s="7">
        <f>SUM(L6:L9)</f>
        <v>13100</v>
      </c>
      <c r="M10" s="7">
        <f>SUM(M6:M9)</f>
        <v>14109</v>
      </c>
      <c r="N10" s="7">
        <f>SUM(N6:N9)</f>
        <v>14427</v>
      </c>
    </row>
    <row r="11" spans="2:15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5" x14ac:dyDescent="0.3">
      <c r="B12" s="5" t="s">
        <v>68</v>
      </c>
      <c r="C12" s="6">
        <v>150000</v>
      </c>
      <c r="D12" s="6">
        <v>0</v>
      </c>
      <c r="E12" s="6">
        <v>150000</v>
      </c>
      <c r="F12" s="6"/>
      <c r="G12" s="6">
        <v>150000</v>
      </c>
      <c r="H12" s="6">
        <v>150000</v>
      </c>
      <c r="I12" s="90">
        <v>150000</v>
      </c>
      <c r="J12" s="49">
        <f>IFERROR(I12/E12,"N/A")</f>
        <v>1</v>
      </c>
      <c r="K12" s="6"/>
      <c r="L12" s="6">
        <v>150000</v>
      </c>
      <c r="M12" s="6">
        <v>150000</v>
      </c>
      <c r="N12" s="6">
        <v>150000</v>
      </c>
    </row>
    <row r="13" spans="2:15" x14ac:dyDescent="0.3">
      <c r="B13" s="5" t="s">
        <v>69</v>
      </c>
      <c r="C13" s="6">
        <v>0</v>
      </c>
      <c r="D13" s="6">
        <v>0</v>
      </c>
      <c r="E13" s="6">
        <v>0</v>
      </c>
      <c r="F13" s="6">
        <v>12617</v>
      </c>
      <c r="G13" s="6">
        <v>12617</v>
      </c>
      <c r="H13" s="6">
        <v>7390</v>
      </c>
      <c r="I13" s="90">
        <v>14601</v>
      </c>
      <c r="J13" s="49" t="str">
        <f>IFERROR(I13/E13,"N/A")</f>
        <v>N/A</v>
      </c>
      <c r="K13" s="6"/>
      <c r="L13" s="6">
        <v>14362</v>
      </c>
      <c r="M13" s="6">
        <v>14123</v>
      </c>
      <c r="N13" s="6">
        <v>13883</v>
      </c>
    </row>
    <row r="14" spans="2:15" s="1" customFormat="1" x14ac:dyDescent="0.3">
      <c r="B14" s="2" t="s">
        <v>32</v>
      </c>
      <c r="C14" s="7">
        <f t="shared" ref="C14:I14" si="1">SUM(C11:C13)</f>
        <v>150000</v>
      </c>
      <c r="D14" s="7">
        <f t="shared" si="1"/>
        <v>0</v>
      </c>
      <c r="E14" s="7">
        <f t="shared" si="1"/>
        <v>150000</v>
      </c>
      <c r="F14" s="7">
        <f t="shared" si="1"/>
        <v>12617</v>
      </c>
      <c r="G14" s="7">
        <f t="shared" si="1"/>
        <v>162617</v>
      </c>
      <c r="H14" s="7">
        <f t="shared" si="1"/>
        <v>157390</v>
      </c>
      <c r="I14" s="7">
        <f t="shared" si="1"/>
        <v>164601</v>
      </c>
      <c r="J14" s="50">
        <f>IFERROR(I14/E14,"N/A")</f>
        <v>1.09734</v>
      </c>
      <c r="K14" s="7"/>
      <c r="L14" s="7">
        <f>SUM(L11:L13)</f>
        <v>164362</v>
      </c>
      <c r="M14" s="7">
        <f>SUM(M11:M13)</f>
        <v>164123</v>
      </c>
      <c r="N14" s="7">
        <f>SUM(N11:N13)</f>
        <v>163883</v>
      </c>
    </row>
    <row r="15" spans="2:15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5" x14ac:dyDescent="0.3">
      <c r="B16" s="5" t="s">
        <v>70</v>
      </c>
      <c r="C16" s="6">
        <f>-(C21+C13)</f>
        <v>0</v>
      </c>
      <c r="D16" s="6">
        <f t="shared" ref="D16:N16" si="2">-(D21+D13)</f>
        <v>0</v>
      </c>
      <c r="E16" s="6">
        <f t="shared" si="2"/>
        <v>0</v>
      </c>
      <c r="F16" s="6">
        <f t="shared" si="2"/>
        <v>4050</v>
      </c>
      <c r="G16" s="6">
        <f t="shared" si="2"/>
        <v>4050</v>
      </c>
      <c r="H16" s="6">
        <f t="shared" si="2"/>
        <v>6966</v>
      </c>
      <c r="I16" s="90">
        <f t="shared" si="2"/>
        <v>5399</v>
      </c>
      <c r="J16" s="49" t="str">
        <f>IFERROR(I16/E16,"N/A")</f>
        <v>N/A</v>
      </c>
      <c r="K16" s="6"/>
      <c r="L16" s="6">
        <f t="shared" si="2"/>
        <v>5638</v>
      </c>
      <c r="M16" s="6">
        <f t="shared" si="2"/>
        <v>5877</v>
      </c>
      <c r="N16" s="6">
        <f t="shared" si="2"/>
        <v>6117</v>
      </c>
    </row>
    <row r="17" spans="2:14" s="1" customFormat="1" x14ac:dyDescent="0.3">
      <c r="B17" s="2" t="s">
        <v>32</v>
      </c>
      <c r="C17" s="7">
        <f t="shared" ref="C17:I17" si="3">SUM(C15:C16)</f>
        <v>0</v>
      </c>
      <c r="D17" s="7">
        <f t="shared" si="3"/>
        <v>0</v>
      </c>
      <c r="E17" s="7">
        <f t="shared" si="3"/>
        <v>0</v>
      </c>
      <c r="F17" s="7">
        <f t="shared" si="3"/>
        <v>4050</v>
      </c>
      <c r="G17" s="7">
        <f t="shared" si="3"/>
        <v>4050</v>
      </c>
      <c r="H17" s="7">
        <f t="shared" si="3"/>
        <v>6966</v>
      </c>
      <c r="I17" s="7">
        <f t="shared" si="3"/>
        <v>5399</v>
      </c>
      <c r="J17" s="50" t="str">
        <f>IFERROR(I17/E17,"N/A")</f>
        <v>N/A</v>
      </c>
      <c r="K17" s="7"/>
      <c r="L17" s="7">
        <f>SUM(L15:L16)</f>
        <v>5638</v>
      </c>
      <c r="M17" s="7">
        <f>SUM(M15:M16)</f>
        <v>5877</v>
      </c>
      <c r="N17" s="7">
        <f>SUM(N15:N16)</f>
        <v>6117</v>
      </c>
    </row>
    <row r="18" spans="2:14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x14ac:dyDescent="0.3">
      <c r="B19" s="2" t="s">
        <v>35</v>
      </c>
      <c r="C19" s="7">
        <f t="shared" ref="C19:I19" si="4">0.5*SUM(C5:C18)</f>
        <v>159100</v>
      </c>
      <c r="D19" s="7">
        <f t="shared" si="4"/>
        <v>0</v>
      </c>
      <c r="E19" s="7">
        <f t="shared" si="4"/>
        <v>160000</v>
      </c>
      <c r="F19" s="7">
        <f t="shared" si="4"/>
        <v>16667</v>
      </c>
      <c r="G19" s="7">
        <f t="shared" si="4"/>
        <v>176667</v>
      </c>
      <c r="H19" s="7">
        <f t="shared" si="4"/>
        <v>179356</v>
      </c>
      <c r="I19" s="7">
        <f t="shared" si="4"/>
        <v>180000</v>
      </c>
      <c r="J19" s="50">
        <f>IFERROR(I19/E19,"N/A")</f>
        <v>1.125</v>
      </c>
      <c r="K19" s="7"/>
      <c r="L19" s="7">
        <f>0.5*SUM(L5:L18)</f>
        <v>183100</v>
      </c>
      <c r="M19" s="7">
        <f>0.5*SUM(M5:M18)</f>
        <v>184109</v>
      </c>
      <c r="N19" s="7">
        <f>0.5*SUM(N5:N18)</f>
        <v>184427</v>
      </c>
    </row>
    <row r="20" spans="2:14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3">
      <c r="B21" s="5" t="s">
        <v>71</v>
      </c>
      <c r="C21" s="6">
        <v>0</v>
      </c>
      <c r="D21" s="6">
        <v>0</v>
      </c>
      <c r="E21" s="6">
        <v>0</v>
      </c>
      <c r="F21" s="6">
        <v>-16667</v>
      </c>
      <c r="G21" s="6">
        <v>-16667</v>
      </c>
      <c r="H21" s="6">
        <v>-14356</v>
      </c>
      <c r="I21" s="90">
        <v>-20000</v>
      </c>
      <c r="J21" s="49" t="str">
        <f>IFERROR(I21/E21,"N/A")</f>
        <v>N/A</v>
      </c>
      <c r="K21" s="6"/>
      <c r="L21" s="6">
        <v>-20000</v>
      </c>
      <c r="M21" s="6">
        <v>-20000</v>
      </c>
      <c r="N21" s="6">
        <v>-20000</v>
      </c>
    </row>
    <row r="22" spans="2:14" s="1" customFormat="1" x14ac:dyDescent="0.3">
      <c r="B22" s="2" t="s">
        <v>34</v>
      </c>
      <c r="C22" s="7">
        <f t="shared" ref="C22:I22" si="5">SUM(C21:C21)</f>
        <v>0</v>
      </c>
      <c r="D22" s="7">
        <f t="shared" si="5"/>
        <v>0</v>
      </c>
      <c r="E22" s="7">
        <f t="shared" si="5"/>
        <v>0</v>
      </c>
      <c r="F22" s="7">
        <f t="shared" si="5"/>
        <v>-16667</v>
      </c>
      <c r="G22" s="7">
        <f t="shared" si="5"/>
        <v>-16667</v>
      </c>
      <c r="H22" s="7">
        <f t="shared" si="5"/>
        <v>-14356</v>
      </c>
      <c r="I22" s="7">
        <f t="shared" si="5"/>
        <v>-20000</v>
      </c>
      <c r="J22" s="50" t="str">
        <f>IFERROR(I22/E22,"N/A")</f>
        <v>N/A</v>
      </c>
      <c r="K22" s="7"/>
      <c r="L22" s="7">
        <f>SUM(L21:L21)</f>
        <v>-20000</v>
      </c>
      <c r="M22" s="7">
        <f>SUM(M21:M21)</f>
        <v>-20000</v>
      </c>
      <c r="N22" s="7">
        <f>SUM(N21:N21)</f>
        <v>-20000</v>
      </c>
    </row>
    <row r="23" spans="2:14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s="1" customFormat="1" x14ac:dyDescent="0.3">
      <c r="B24" s="2" t="s">
        <v>33</v>
      </c>
      <c r="C24" s="7">
        <f t="shared" ref="C24:I24" si="6">C22+C19</f>
        <v>159100</v>
      </c>
      <c r="D24" s="7">
        <f t="shared" si="6"/>
        <v>0</v>
      </c>
      <c r="E24" s="7">
        <f t="shared" si="6"/>
        <v>160000</v>
      </c>
      <c r="F24" s="7">
        <f t="shared" si="6"/>
        <v>0</v>
      </c>
      <c r="G24" s="7">
        <f t="shared" si="6"/>
        <v>160000</v>
      </c>
      <c r="H24" s="7">
        <f t="shared" si="6"/>
        <v>165000</v>
      </c>
      <c r="I24" s="7">
        <f t="shared" si="6"/>
        <v>160000</v>
      </c>
      <c r="J24" s="50">
        <f>IFERROR(I24/E24,"N/A")</f>
        <v>1</v>
      </c>
      <c r="K24" s="7"/>
      <c r="L24" s="7">
        <f>L22+L19</f>
        <v>163100</v>
      </c>
      <c r="M24" s="7">
        <f>M22+M19</f>
        <v>164109</v>
      </c>
      <c r="N24" s="7">
        <f>N22+N19</f>
        <v>164427</v>
      </c>
    </row>
  </sheetData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3:N31"/>
  <sheetViews>
    <sheetView topLeftCell="A12" zoomScaleNormal="100" workbookViewId="0">
      <selection activeCell="D8" sqref="D8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23.44140625" bestFit="1" customWidth="1"/>
    <col min="12" max="14" width="12.21875" customWidth="1"/>
  </cols>
  <sheetData>
    <row r="3" spans="2:14" s="1" customFormat="1" ht="43.2" x14ac:dyDescent="0.3">
      <c r="B3" s="2" t="s">
        <v>46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72</v>
      </c>
      <c r="C6" s="6">
        <v>900</v>
      </c>
      <c r="D6" s="6">
        <v>900</v>
      </c>
      <c r="E6" s="6">
        <v>900</v>
      </c>
      <c r="F6" s="6"/>
      <c r="G6" s="6">
        <v>900</v>
      </c>
      <c r="H6" s="6">
        <v>1000</v>
      </c>
      <c r="I6" s="90">
        <v>1000</v>
      </c>
      <c r="J6" s="49">
        <f>IFERROR(I6/E6,"N/A")</f>
        <v>1.1111111111111112</v>
      </c>
      <c r="K6" s="6"/>
      <c r="L6" s="6">
        <v>1000</v>
      </c>
      <c r="M6" s="6">
        <v>1000</v>
      </c>
      <c r="N6" s="6">
        <v>1000</v>
      </c>
    </row>
    <row r="7" spans="2:14" s="1" customFormat="1" x14ac:dyDescent="0.3">
      <c r="B7" s="2" t="s">
        <v>32</v>
      </c>
      <c r="C7" s="7">
        <f t="shared" ref="C7:I7" si="0">SUM(C6:C6)</f>
        <v>900</v>
      </c>
      <c r="D7" s="7">
        <f t="shared" si="0"/>
        <v>900</v>
      </c>
      <c r="E7" s="7">
        <f t="shared" si="0"/>
        <v>900</v>
      </c>
      <c r="F7" s="7">
        <f t="shared" si="0"/>
        <v>0</v>
      </c>
      <c r="G7" s="7">
        <f t="shared" si="0"/>
        <v>900</v>
      </c>
      <c r="H7" s="7">
        <f t="shared" si="0"/>
        <v>1000</v>
      </c>
      <c r="I7" s="7">
        <f t="shared" si="0"/>
        <v>1000</v>
      </c>
      <c r="J7" s="50">
        <f>IFERROR(I7/E7,"N/A")</f>
        <v>1.1111111111111112</v>
      </c>
      <c r="K7" s="7"/>
      <c r="L7" s="7">
        <f>SUM(L6:L6)</f>
        <v>1000</v>
      </c>
      <c r="M7" s="7">
        <f>SUM(M6:M6)</f>
        <v>1000</v>
      </c>
      <c r="N7" s="7">
        <f>SUM(N6:N6)</f>
        <v>1000</v>
      </c>
    </row>
    <row r="8" spans="2:14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x14ac:dyDescent="0.3">
      <c r="B9" s="5" t="s">
        <v>274</v>
      </c>
      <c r="C9" s="6">
        <v>0</v>
      </c>
      <c r="D9" s="6">
        <v>0</v>
      </c>
      <c r="E9" s="6">
        <v>75000</v>
      </c>
      <c r="F9" s="6">
        <v>-65000</v>
      </c>
      <c r="G9" s="6">
        <v>10000</v>
      </c>
      <c r="H9" s="6">
        <v>0</v>
      </c>
      <c r="I9" s="91">
        <v>25000</v>
      </c>
      <c r="J9" s="49">
        <f>IFERROR(I9/E9,"N/A")</f>
        <v>0.33333333333333331</v>
      </c>
      <c r="K9" s="6" t="s">
        <v>104</v>
      </c>
      <c r="L9" s="6">
        <f>ROUND(75000*RPI,0)</f>
        <v>77250</v>
      </c>
      <c r="M9" s="6">
        <f>ROUND(L9*RPI,0)</f>
        <v>79568</v>
      </c>
      <c r="N9" s="6">
        <f>ROUND(M9*RPI,0)</f>
        <v>81955</v>
      </c>
    </row>
    <row r="10" spans="2:14" x14ac:dyDescent="0.3">
      <c r="B10" s="5" t="s">
        <v>250</v>
      </c>
      <c r="C10" s="6"/>
      <c r="D10" s="6"/>
      <c r="E10" s="6"/>
      <c r="F10" s="6"/>
      <c r="G10" s="6"/>
      <c r="H10" s="6"/>
      <c r="I10" s="93">
        <v>2900</v>
      </c>
      <c r="J10" s="49"/>
      <c r="K10" s="6" t="s">
        <v>243</v>
      </c>
      <c r="L10" s="6">
        <f>ROUND(I10*RPI,0)</f>
        <v>2987</v>
      </c>
      <c r="M10" s="6">
        <f>ROUND(L10*RPI,0)</f>
        <v>3077</v>
      </c>
      <c r="N10" s="6">
        <f>ROUND(M10*RPI,0)</f>
        <v>3169</v>
      </c>
    </row>
    <row r="11" spans="2:14" s="1" customFormat="1" x14ac:dyDescent="0.3">
      <c r="B11" s="2" t="s">
        <v>32</v>
      </c>
      <c r="C11" s="7">
        <f t="shared" ref="C11:I11" si="1">SUM(C8:C9)</f>
        <v>0</v>
      </c>
      <c r="D11" s="7">
        <f t="shared" si="1"/>
        <v>0</v>
      </c>
      <c r="E11" s="7">
        <f t="shared" si="1"/>
        <v>75000</v>
      </c>
      <c r="F11" s="7">
        <f t="shared" si="1"/>
        <v>-65000</v>
      </c>
      <c r="G11" s="7">
        <f t="shared" si="1"/>
        <v>10000</v>
      </c>
      <c r="H11" s="7">
        <f t="shared" si="1"/>
        <v>0</v>
      </c>
      <c r="I11" s="7">
        <f t="shared" si="1"/>
        <v>25000</v>
      </c>
      <c r="J11" s="50">
        <f>IFERROR(I11/E11,"N/A")</f>
        <v>0.33333333333333331</v>
      </c>
      <c r="K11" s="7"/>
      <c r="L11" s="7">
        <f>SUM(L8:L10)</f>
        <v>80237</v>
      </c>
      <c r="M11" s="7">
        <f>SUM(M8:M10)</f>
        <v>82645</v>
      </c>
      <c r="N11" s="7">
        <f>SUM(N8:N10)</f>
        <v>85124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14" t="s">
        <v>47</v>
      </c>
      <c r="C13" s="6">
        <v>300</v>
      </c>
      <c r="D13" s="6">
        <v>288</v>
      </c>
      <c r="E13" s="6">
        <v>311</v>
      </c>
      <c r="F13" s="6"/>
      <c r="G13" s="6">
        <v>311</v>
      </c>
      <c r="H13" s="6">
        <f t="shared" ref="H13:H18" si="2">G13*700000/737428</f>
        <v>295.21526169334498</v>
      </c>
      <c r="I13" s="93">
        <v>300</v>
      </c>
      <c r="J13" s="49">
        <f>IFERROR(I13/E13,"N/A")</f>
        <v>0.96463022508038587</v>
      </c>
      <c r="K13" s="6"/>
      <c r="L13" s="6">
        <f t="shared" ref="L13:L20" si="3">ROUND(I13*RPI,0)</f>
        <v>309</v>
      </c>
      <c r="M13" s="6">
        <f t="shared" ref="M13:N20" si="4">ROUND(L13*RPI,0)</f>
        <v>318</v>
      </c>
      <c r="N13" s="6">
        <f t="shared" si="4"/>
        <v>328</v>
      </c>
    </row>
    <row r="14" spans="2:14" x14ac:dyDescent="0.3">
      <c r="B14" s="14" t="s">
        <v>48</v>
      </c>
      <c r="C14" s="6">
        <v>2100</v>
      </c>
      <c r="D14" s="6">
        <v>2014</v>
      </c>
      <c r="E14" s="6">
        <v>2173</v>
      </c>
      <c r="F14" s="6"/>
      <c r="G14" s="6">
        <v>2173</v>
      </c>
      <c r="H14" s="6">
        <f t="shared" si="2"/>
        <v>2062.7098509956227</v>
      </c>
      <c r="I14" s="93">
        <v>1000</v>
      </c>
      <c r="J14" s="49">
        <f>IFERROR(I14/E14,"N/A")</f>
        <v>0.46019328117809483</v>
      </c>
      <c r="K14" s="6"/>
      <c r="L14" s="6">
        <f t="shared" si="3"/>
        <v>1030</v>
      </c>
      <c r="M14" s="6">
        <f t="shared" si="4"/>
        <v>1061</v>
      </c>
      <c r="N14" s="6">
        <f t="shared" si="4"/>
        <v>1093</v>
      </c>
    </row>
    <row r="15" spans="2:14" x14ac:dyDescent="0.3">
      <c r="B15" s="14" t="s">
        <v>73</v>
      </c>
      <c r="C15" s="6">
        <v>0</v>
      </c>
      <c r="D15" s="6"/>
      <c r="E15" s="6">
        <v>0</v>
      </c>
      <c r="F15" s="6"/>
      <c r="G15" s="6">
        <v>0</v>
      </c>
      <c r="H15" s="6">
        <f t="shared" si="2"/>
        <v>0</v>
      </c>
      <c r="I15" s="93">
        <v>100</v>
      </c>
      <c r="J15" s="6"/>
      <c r="K15" s="6"/>
      <c r="L15" s="6">
        <f t="shared" si="3"/>
        <v>103</v>
      </c>
      <c r="M15" s="6">
        <f t="shared" si="4"/>
        <v>106</v>
      </c>
      <c r="N15" s="6">
        <f t="shared" si="4"/>
        <v>109</v>
      </c>
    </row>
    <row r="16" spans="2:14" x14ac:dyDescent="0.3">
      <c r="B16" s="14" t="s">
        <v>74</v>
      </c>
      <c r="C16" s="6">
        <v>1000</v>
      </c>
      <c r="D16" s="6">
        <v>959</v>
      </c>
      <c r="E16" s="6">
        <v>1035</v>
      </c>
      <c r="F16" s="6"/>
      <c r="G16" s="6">
        <v>1035</v>
      </c>
      <c r="H16" s="6">
        <f t="shared" si="2"/>
        <v>982.4687969537365</v>
      </c>
      <c r="I16" s="93">
        <v>2300</v>
      </c>
      <c r="J16" s="49">
        <f>IFERROR(I16/E16,"N/A")</f>
        <v>2.2222222222222223</v>
      </c>
      <c r="K16" s="6"/>
      <c r="L16" s="6">
        <f t="shared" si="3"/>
        <v>2369</v>
      </c>
      <c r="M16" s="6">
        <f t="shared" si="4"/>
        <v>2440</v>
      </c>
      <c r="N16" s="6">
        <f t="shared" si="4"/>
        <v>2513</v>
      </c>
    </row>
    <row r="17" spans="2:14" s="38" customFormat="1" x14ac:dyDescent="0.3">
      <c r="B17" s="39" t="s">
        <v>75</v>
      </c>
      <c r="C17" s="35">
        <v>2700</v>
      </c>
      <c r="D17" s="35">
        <v>2590</v>
      </c>
      <c r="E17" s="35">
        <v>2794</v>
      </c>
      <c r="F17" s="35"/>
      <c r="G17" s="35">
        <v>2794</v>
      </c>
      <c r="H17" s="35">
        <f t="shared" si="2"/>
        <v>2652.1911291678643</v>
      </c>
      <c r="I17" s="35">
        <v>0</v>
      </c>
      <c r="J17" s="35"/>
      <c r="K17" s="35" t="s">
        <v>180</v>
      </c>
      <c r="L17" s="35">
        <f t="shared" si="3"/>
        <v>0</v>
      </c>
      <c r="M17" s="35">
        <f t="shared" si="4"/>
        <v>0</v>
      </c>
      <c r="N17" s="35">
        <f t="shared" si="4"/>
        <v>0</v>
      </c>
    </row>
    <row r="18" spans="2:14" x14ac:dyDescent="0.3">
      <c r="B18" s="14" t="s">
        <v>76</v>
      </c>
      <c r="C18" s="6">
        <v>200</v>
      </c>
      <c r="D18" s="6">
        <v>192</v>
      </c>
      <c r="E18" s="6">
        <v>207</v>
      </c>
      <c r="F18" s="6"/>
      <c r="G18" s="6">
        <v>207</v>
      </c>
      <c r="H18" s="6">
        <f t="shared" si="2"/>
        <v>196.4937593907473</v>
      </c>
      <c r="I18" s="93">
        <v>200</v>
      </c>
      <c r="J18" s="49">
        <f>IFERROR(I18/E18,"N/A")</f>
        <v>0.96618357487922701</v>
      </c>
      <c r="K18" s="6"/>
      <c r="L18" s="6">
        <f t="shared" si="3"/>
        <v>206</v>
      </c>
      <c r="M18" s="6">
        <f t="shared" si="4"/>
        <v>212</v>
      </c>
      <c r="N18" s="6">
        <f t="shared" si="4"/>
        <v>218</v>
      </c>
    </row>
    <row r="19" spans="2:14" x14ac:dyDescent="0.3">
      <c r="B19" s="14" t="s">
        <v>254</v>
      </c>
      <c r="C19" s="6"/>
      <c r="D19" s="6"/>
      <c r="E19" s="6"/>
      <c r="F19" s="6"/>
      <c r="G19" s="6"/>
      <c r="H19" s="6"/>
      <c r="I19" s="93">
        <v>400</v>
      </c>
      <c r="J19" s="49"/>
      <c r="K19" s="6"/>
      <c r="L19" s="6"/>
      <c r="M19" s="6"/>
      <c r="N19" s="6"/>
    </row>
    <row r="20" spans="2:14" x14ac:dyDescent="0.3">
      <c r="B20" s="9" t="s">
        <v>77</v>
      </c>
      <c r="C20" s="6">
        <v>0</v>
      </c>
      <c r="D20" s="6"/>
      <c r="E20" s="6">
        <v>0</v>
      </c>
      <c r="F20" s="6"/>
      <c r="G20" s="6">
        <v>0</v>
      </c>
      <c r="H20" s="17"/>
      <c r="I20" s="91">
        <f>'CTax Options'!M11-'CTax Options'!N11</f>
        <v>10000</v>
      </c>
      <c r="J20" s="49" t="str">
        <f>IFERROR(I20/E20,"N/A")</f>
        <v>N/A</v>
      </c>
      <c r="K20" s="6"/>
      <c r="L20" s="6">
        <f t="shared" si="3"/>
        <v>10300</v>
      </c>
      <c r="M20" s="6">
        <f t="shared" si="4"/>
        <v>10609</v>
      </c>
      <c r="N20" s="6">
        <f t="shared" si="4"/>
        <v>10927</v>
      </c>
    </row>
    <row r="21" spans="2:14" s="1" customFormat="1" x14ac:dyDescent="0.3">
      <c r="B21" s="2" t="s">
        <v>32</v>
      </c>
      <c r="C21" s="7">
        <f>SUM(C12:C20)</f>
        <v>6300</v>
      </c>
      <c r="D21" s="7">
        <f t="shared" ref="D21:N21" si="5">SUM(D12:D20)</f>
        <v>6043</v>
      </c>
      <c r="E21" s="7">
        <f t="shared" si="5"/>
        <v>6520</v>
      </c>
      <c r="F21" s="7">
        <f t="shared" si="5"/>
        <v>0</v>
      </c>
      <c r="G21" s="7">
        <f t="shared" si="5"/>
        <v>6520</v>
      </c>
      <c r="H21" s="7">
        <f t="shared" si="5"/>
        <v>6189.0787982013153</v>
      </c>
      <c r="I21" s="7">
        <f t="shared" si="5"/>
        <v>14300</v>
      </c>
      <c r="J21" s="50">
        <f>IFERROR(I21/E21,"N/A")</f>
        <v>2.1932515337423313</v>
      </c>
      <c r="K21" s="7"/>
      <c r="L21" s="7">
        <f t="shared" si="5"/>
        <v>14317</v>
      </c>
      <c r="M21" s="7">
        <f t="shared" si="5"/>
        <v>14746</v>
      </c>
      <c r="N21" s="7">
        <f t="shared" si="5"/>
        <v>15188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s="1" customFormat="1" x14ac:dyDescent="0.3">
      <c r="B23" s="2" t="s">
        <v>35</v>
      </c>
      <c r="C23" s="7">
        <f t="shared" ref="C23:I23" si="6">0.5*SUM(C5:C22)</f>
        <v>7200</v>
      </c>
      <c r="D23" s="7">
        <f t="shared" si="6"/>
        <v>6943</v>
      </c>
      <c r="E23" s="7">
        <f t="shared" si="6"/>
        <v>82420</v>
      </c>
      <c r="F23" s="7">
        <f t="shared" si="6"/>
        <v>-65000</v>
      </c>
      <c r="G23" s="7">
        <f t="shared" si="6"/>
        <v>17420</v>
      </c>
      <c r="H23" s="7">
        <f t="shared" si="6"/>
        <v>7189.0787982013153</v>
      </c>
      <c r="I23" s="7">
        <f t="shared" si="6"/>
        <v>41750</v>
      </c>
      <c r="J23" s="50">
        <f>IFERROR(I23/E23,"N/A")</f>
        <v>0.50655180781363751</v>
      </c>
      <c r="K23" s="7"/>
      <c r="L23" s="7">
        <f>0.5*SUM(L5:L22)</f>
        <v>95554</v>
      </c>
      <c r="M23" s="7">
        <f>0.5*SUM(M5:M22)</f>
        <v>98391</v>
      </c>
      <c r="N23" s="7">
        <f>0.5*SUM(N5:N22)</f>
        <v>101312</v>
      </c>
    </row>
    <row r="24" spans="2:14" x14ac:dyDescent="0.3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3">
      <c r="B25" s="5" t="s">
        <v>78</v>
      </c>
      <c r="C25" s="6">
        <v>0</v>
      </c>
      <c r="D25" s="6">
        <v>0</v>
      </c>
      <c r="E25" s="6">
        <v>-525</v>
      </c>
      <c r="F25" s="6"/>
      <c r="G25" s="6">
        <v>-525</v>
      </c>
      <c r="H25" s="6">
        <v>-583</v>
      </c>
      <c r="I25" s="90">
        <v>-583</v>
      </c>
      <c r="J25" s="49">
        <f>IFERROR(I25/E25,"N/A")</f>
        <v>1.1104761904761904</v>
      </c>
      <c r="K25" s="6"/>
      <c r="L25" s="6">
        <v>-583</v>
      </c>
      <c r="M25" s="6">
        <v>-583</v>
      </c>
      <c r="N25" s="6">
        <v>-583</v>
      </c>
    </row>
    <row r="26" spans="2:14" s="1" customFormat="1" x14ac:dyDescent="0.3">
      <c r="B26" s="2" t="s">
        <v>34</v>
      </c>
      <c r="C26" s="7">
        <f t="shared" ref="C26:I26" si="7">SUM(C25:C25)</f>
        <v>0</v>
      </c>
      <c r="D26" s="7">
        <f t="shared" si="7"/>
        <v>0</v>
      </c>
      <c r="E26" s="7">
        <f t="shared" si="7"/>
        <v>-525</v>
      </c>
      <c r="F26" s="7">
        <f t="shared" si="7"/>
        <v>0</v>
      </c>
      <c r="G26" s="7">
        <f t="shared" si="7"/>
        <v>-525</v>
      </c>
      <c r="H26" s="7">
        <f t="shared" si="7"/>
        <v>-583</v>
      </c>
      <c r="I26" s="7">
        <f t="shared" si="7"/>
        <v>-583</v>
      </c>
      <c r="J26" s="50">
        <f>IFERROR(I26/E26,"N/A")</f>
        <v>1.1104761904761904</v>
      </c>
      <c r="K26" s="7"/>
      <c r="L26" s="7">
        <f>SUM(L25:L25)</f>
        <v>-583</v>
      </c>
      <c r="M26" s="7">
        <f>SUM(M25:M25)</f>
        <v>-583</v>
      </c>
      <c r="N26" s="7">
        <f>SUM(N25:N25)</f>
        <v>-583</v>
      </c>
    </row>
    <row r="27" spans="2:14" x14ac:dyDescent="0.3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s="1" customFormat="1" x14ac:dyDescent="0.3">
      <c r="B28" s="2" t="s">
        <v>33</v>
      </c>
      <c r="C28" s="7">
        <f t="shared" ref="C28:I28" si="8">C26+C23</f>
        <v>7200</v>
      </c>
      <c r="D28" s="7">
        <f t="shared" si="8"/>
        <v>6943</v>
      </c>
      <c r="E28" s="7">
        <f t="shared" si="8"/>
        <v>81895</v>
      </c>
      <c r="F28" s="7">
        <f t="shared" si="8"/>
        <v>-65000</v>
      </c>
      <c r="G28" s="7">
        <f t="shared" si="8"/>
        <v>16895</v>
      </c>
      <c r="H28" s="7">
        <f t="shared" si="8"/>
        <v>6606.0787982013153</v>
      </c>
      <c r="I28" s="7">
        <f t="shared" si="8"/>
        <v>41167</v>
      </c>
      <c r="J28" s="50">
        <f>IFERROR(I28/E28,"N/A")</f>
        <v>0.50268026131021426</v>
      </c>
      <c r="K28" s="7"/>
      <c r="L28" s="7">
        <f>L26+L23</f>
        <v>94971</v>
      </c>
      <c r="M28" s="7">
        <f>M26+M23</f>
        <v>97808</v>
      </c>
      <c r="N28" s="7">
        <f>N26+N23</f>
        <v>100729</v>
      </c>
    </row>
    <row r="30" spans="2:14" x14ac:dyDescent="0.3">
      <c r="H30" s="24"/>
    </row>
    <row r="31" spans="2:14" x14ac:dyDescent="0.3">
      <c r="H31" s="24"/>
    </row>
  </sheetData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3:N27"/>
  <sheetViews>
    <sheetView topLeftCell="C2" workbookViewId="0">
      <selection activeCell="G21" sqref="G21"/>
    </sheetView>
  </sheetViews>
  <sheetFormatPr defaultRowHeight="14.4" x14ac:dyDescent="0.3"/>
  <cols>
    <col min="1" max="1" width="4.44140625" customWidth="1"/>
    <col min="2" max="2" width="41.6640625" customWidth="1"/>
    <col min="3" max="3" width="12.21875" customWidth="1"/>
    <col min="4" max="4" width="15.77734375" customWidth="1"/>
    <col min="5" max="10" width="12.21875" customWidth="1"/>
    <col min="11" max="11" width="16.21875" customWidth="1"/>
    <col min="12" max="14" width="12.21875" customWidth="1"/>
  </cols>
  <sheetData>
    <row r="3" spans="2:14" s="1" customFormat="1" ht="43.2" x14ac:dyDescent="0.3">
      <c r="B3" s="2" t="s">
        <v>4</v>
      </c>
      <c r="C3" s="3" t="s">
        <v>23</v>
      </c>
      <c r="D3" s="3" t="s">
        <v>22</v>
      </c>
      <c r="E3" s="3" t="s">
        <v>24</v>
      </c>
      <c r="F3" s="3" t="s">
        <v>25</v>
      </c>
      <c r="G3" s="3" t="s">
        <v>26</v>
      </c>
      <c r="H3" s="3" t="s">
        <v>232</v>
      </c>
      <c r="I3" s="3" t="s">
        <v>27</v>
      </c>
      <c r="J3" s="3" t="s">
        <v>190</v>
      </c>
      <c r="K3" s="3" t="s">
        <v>28</v>
      </c>
      <c r="L3" s="3" t="s">
        <v>29</v>
      </c>
      <c r="M3" s="3" t="s">
        <v>30</v>
      </c>
      <c r="N3" s="3" t="s">
        <v>31</v>
      </c>
    </row>
    <row r="4" spans="2:14" s="1" customFormat="1" x14ac:dyDescent="0.3">
      <c r="B4" s="2"/>
      <c r="C4" s="4" t="s">
        <v>36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4" t="s">
        <v>36</v>
      </c>
      <c r="K4" s="4"/>
      <c r="L4" s="4" t="s">
        <v>36</v>
      </c>
      <c r="M4" s="4" t="s">
        <v>36</v>
      </c>
      <c r="N4" s="4" t="s">
        <v>36</v>
      </c>
    </row>
    <row r="5" spans="2:14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3">
      <c r="B6" s="5" t="s">
        <v>42</v>
      </c>
      <c r="C6" s="6"/>
      <c r="D6" s="6"/>
      <c r="E6" s="6"/>
      <c r="F6" s="6"/>
      <c r="G6" s="6"/>
      <c r="H6" s="6">
        <f>G7+G8+G9</f>
        <v>7849</v>
      </c>
      <c r="I6" s="94">
        <v>8084</v>
      </c>
      <c r="J6" s="49" t="str">
        <f>IFERROR(I6/E6,"N/A")</f>
        <v>N/A</v>
      </c>
      <c r="K6" s="6"/>
      <c r="L6" s="6">
        <f>ROUND(I6*RPI,0)</f>
        <v>8327</v>
      </c>
      <c r="M6" s="6">
        <f>ROUND(L6*RPI,0)</f>
        <v>8577</v>
      </c>
      <c r="N6" s="6">
        <f>ROUND(M6*RPI,0)</f>
        <v>8834</v>
      </c>
    </row>
    <row r="7" spans="2:14" x14ac:dyDescent="0.3">
      <c r="B7" s="12" t="s">
        <v>41</v>
      </c>
      <c r="C7" s="13">
        <v>600</v>
      </c>
      <c r="D7" s="13">
        <v>0</v>
      </c>
      <c r="E7" s="13">
        <v>845</v>
      </c>
      <c r="F7" s="13"/>
      <c r="G7" s="13">
        <v>845</v>
      </c>
      <c r="H7" s="13"/>
      <c r="I7" s="13">
        <v>0</v>
      </c>
      <c r="J7" s="13"/>
      <c r="K7" s="13" t="s">
        <v>101</v>
      </c>
      <c r="L7" s="13">
        <v>0</v>
      </c>
      <c r="M7" s="13">
        <v>0</v>
      </c>
      <c r="N7" s="13">
        <v>0</v>
      </c>
    </row>
    <row r="8" spans="2:14" x14ac:dyDescent="0.3">
      <c r="B8" s="12" t="s">
        <v>43</v>
      </c>
      <c r="C8" s="13">
        <v>6800</v>
      </c>
      <c r="D8" s="13">
        <v>0</v>
      </c>
      <c r="E8" s="13">
        <v>7004</v>
      </c>
      <c r="F8" s="13"/>
      <c r="G8" s="13">
        <v>7004</v>
      </c>
      <c r="H8" s="13"/>
      <c r="I8" s="13">
        <v>0</v>
      </c>
      <c r="J8" s="13"/>
      <c r="K8" s="13" t="s">
        <v>101</v>
      </c>
      <c r="L8" s="13">
        <v>0</v>
      </c>
      <c r="M8" s="13">
        <v>0</v>
      </c>
      <c r="N8" s="13"/>
    </row>
    <row r="9" spans="2:14" x14ac:dyDescent="0.3">
      <c r="B9" s="12" t="s">
        <v>58</v>
      </c>
      <c r="C9" s="13">
        <v>2000</v>
      </c>
      <c r="D9" s="13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13" t="s">
        <v>103</v>
      </c>
      <c r="L9" s="13">
        <v>0</v>
      </c>
      <c r="M9" s="13">
        <v>0</v>
      </c>
      <c r="N9" s="13">
        <v>0</v>
      </c>
    </row>
    <row r="10" spans="2:14" x14ac:dyDescent="0.3">
      <c r="B10" s="5" t="s">
        <v>79</v>
      </c>
      <c r="C10" s="6">
        <v>1000</v>
      </c>
      <c r="D10" s="6">
        <v>1003</v>
      </c>
      <c r="E10" s="6">
        <v>1080</v>
      </c>
      <c r="F10" s="6"/>
      <c r="G10" s="6">
        <v>1080</v>
      </c>
      <c r="H10" s="6">
        <v>2081</v>
      </c>
      <c r="I10" s="94">
        <f>ROUND(G10*RPI,0)</f>
        <v>1112</v>
      </c>
      <c r="J10" s="49">
        <f>IFERROR(I10/E10,"N/A")</f>
        <v>1.0296296296296297</v>
      </c>
      <c r="K10" s="6"/>
      <c r="L10" s="6">
        <f>ROUND(I10*RPI,0)</f>
        <v>1145</v>
      </c>
      <c r="M10" s="6">
        <f>ROUND(L10*RPI,0)</f>
        <v>1179</v>
      </c>
      <c r="N10" s="6">
        <f>ROUND(M10*RPI,0)</f>
        <v>1214</v>
      </c>
    </row>
    <row r="11" spans="2:14" s="1" customFormat="1" x14ac:dyDescent="0.3">
      <c r="B11" s="2" t="s">
        <v>32</v>
      </c>
      <c r="C11" s="7">
        <f t="shared" ref="C11:I11" si="0">SUM(C6:C10)</f>
        <v>10400</v>
      </c>
      <c r="D11" s="7">
        <f t="shared" si="0"/>
        <v>1003</v>
      </c>
      <c r="E11" s="7">
        <f t="shared" si="0"/>
        <v>8929</v>
      </c>
      <c r="F11" s="7">
        <f t="shared" si="0"/>
        <v>0</v>
      </c>
      <c r="G11" s="7">
        <f t="shared" si="0"/>
        <v>8929</v>
      </c>
      <c r="H11" s="7">
        <f t="shared" si="0"/>
        <v>9930</v>
      </c>
      <c r="I11" s="7">
        <f t="shared" si="0"/>
        <v>9196</v>
      </c>
      <c r="J11" s="50">
        <f>IFERROR(I11/E11,"N/A")</f>
        <v>1.0299025646768956</v>
      </c>
      <c r="K11" s="7"/>
      <c r="L11" s="7">
        <f>SUM(L6:L10)</f>
        <v>9472</v>
      </c>
      <c r="M11" s="7">
        <f>SUM(M6:M10)</f>
        <v>9756</v>
      </c>
      <c r="N11" s="7">
        <f>SUM(N6:N10)</f>
        <v>10048</v>
      </c>
    </row>
    <row r="12" spans="2:14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5" t="s">
        <v>80</v>
      </c>
      <c r="C13" s="6">
        <v>82400</v>
      </c>
      <c r="D13" s="6">
        <v>79989</v>
      </c>
      <c r="E13" s="6">
        <v>85284</v>
      </c>
      <c r="F13" s="6"/>
      <c r="G13" s="6">
        <v>85284</v>
      </c>
      <c r="H13" s="6">
        <f>G13*700000/737428</f>
        <v>80955.428868987889</v>
      </c>
      <c r="I13" s="93">
        <v>68800</v>
      </c>
      <c r="J13" s="49">
        <f>IFERROR(I13/E13,"N/A")</f>
        <v>0.80671638290886916</v>
      </c>
      <c r="K13" s="6"/>
      <c r="L13" s="6">
        <f>ROUND(I13*RPI,0)</f>
        <v>70864</v>
      </c>
      <c r="M13" s="6">
        <f>ROUND(L13*RPI,0)</f>
        <v>72990</v>
      </c>
      <c r="N13" s="6">
        <f>ROUND(M13*RPI,0)</f>
        <v>75180</v>
      </c>
    </row>
    <row r="14" spans="2:14" x14ac:dyDescent="0.3">
      <c r="B14" s="5" t="s">
        <v>81</v>
      </c>
      <c r="C14" s="6">
        <v>1000</v>
      </c>
      <c r="D14" s="6">
        <v>0</v>
      </c>
      <c r="E14" s="6">
        <v>1035</v>
      </c>
      <c r="F14" s="6"/>
      <c r="G14" s="6">
        <v>1035</v>
      </c>
      <c r="H14" s="6">
        <f>G14*700000/737428</f>
        <v>982.4687969537365</v>
      </c>
      <c r="I14" s="93">
        <v>1200</v>
      </c>
      <c r="J14" s="49">
        <f>IFERROR(I14/E14,"N/A")</f>
        <v>1.1594202898550725</v>
      </c>
      <c r="K14" s="6" t="s">
        <v>238</v>
      </c>
      <c r="L14" s="6">
        <f>ROUND(I14*RPI,0)</f>
        <v>1236</v>
      </c>
      <c r="M14" s="6">
        <f>ROUND(L14*RPI,0)</f>
        <v>1273</v>
      </c>
      <c r="N14" s="6">
        <f>ROUND(M14*RPI,0)</f>
        <v>1311</v>
      </c>
    </row>
    <row r="15" spans="2:14" x14ac:dyDescent="0.3">
      <c r="B15" s="22" t="s">
        <v>83</v>
      </c>
      <c r="C15" s="13"/>
      <c r="D15" s="13"/>
      <c r="E15" s="13"/>
      <c r="F15" s="13"/>
      <c r="G15" s="13"/>
      <c r="H15" s="13"/>
      <c r="I15" s="13"/>
      <c r="J15" s="13"/>
      <c r="K15" s="13" t="s">
        <v>237</v>
      </c>
      <c r="L15" s="13"/>
      <c r="M15" s="13"/>
      <c r="N15" s="13"/>
    </row>
    <row r="16" spans="2:14" s="1" customFormat="1" x14ac:dyDescent="0.3">
      <c r="B16" s="2" t="s">
        <v>32</v>
      </c>
      <c r="C16" s="7">
        <f t="shared" ref="C16:I16" si="1">SUM(C12:C15)</f>
        <v>83400</v>
      </c>
      <c r="D16" s="7">
        <f t="shared" si="1"/>
        <v>79989</v>
      </c>
      <c r="E16" s="7">
        <f t="shared" si="1"/>
        <v>86319</v>
      </c>
      <c r="F16" s="7">
        <f t="shared" si="1"/>
        <v>0</v>
      </c>
      <c r="G16" s="7">
        <f t="shared" si="1"/>
        <v>86319</v>
      </c>
      <c r="H16" s="7">
        <f t="shared" si="1"/>
        <v>81937.897665941622</v>
      </c>
      <c r="I16" s="7">
        <f t="shared" si="1"/>
        <v>70000</v>
      </c>
      <c r="J16" s="50">
        <f>IFERROR(I16/E16,"N/A")</f>
        <v>0.81094544654131762</v>
      </c>
      <c r="K16" s="7"/>
      <c r="L16" s="7">
        <f>SUM(L12:L15)</f>
        <v>72100</v>
      </c>
      <c r="M16" s="7">
        <f>SUM(M12:M15)</f>
        <v>74263</v>
      </c>
      <c r="N16" s="7">
        <f>SUM(N12:N15)</f>
        <v>76491</v>
      </c>
    </row>
    <row r="17" spans="2:14" x14ac:dyDescent="0.3">
      <c r="B17" s="5"/>
      <c r="C17" s="6"/>
      <c r="D17" s="6"/>
      <c r="E17" s="6"/>
      <c r="F17" s="6"/>
      <c r="G17" s="6"/>
      <c r="H17" s="6"/>
      <c r="I17" s="17"/>
      <c r="J17" s="17"/>
      <c r="K17" s="17"/>
      <c r="L17" s="17"/>
      <c r="M17" s="17"/>
      <c r="N17" s="17"/>
    </row>
    <row r="18" spans="2:14" x14ac:dyDescent="0.3">
      <c r="B18" s="5" t="s">
        <v>82</v>
      </c>
      <c r="C18" s="6"/>
      <c r="D18" s="6"/>
      <c r="E18" s="6"/>
      <c r="F18" s="6"/>
      <c r="G18" s="6"/>
      <c r="H18" s="6"/>
      <c r="I18" s="96">
        <f>'CTax Options'!M12-'CTax Options'!N12</f>
        <v>7214</v>
      </c>
      <c r="J18" s="52" t="str">
        <f>IFERROR(I18/E18,"N/A")</f>
        <v>N/A</v>
      </c>
      <c r="K18" s="17" t="s">
        <v>105</v>
      </c>
      <c r="L18" s="17">
        <f>-L23</f>
        <v>7430</v>
      </c>
      <c r="M18" s="17">
        <f>-M23</f>
        <v>7653</v>
      </c>
      <c r="N18" s="17">
        <f>-N23</f>
        <v>7883</v>
      </c>
    </row>
    <row r="19" spans="2:14" s="1" customFormat="1" x14ac:dyDescent="0.3">
      <c r="B19" s="2" t="s">
        <v>32</v>
      </c>
      <c r="C19" s="7">
        <f t="shared" ref="C19:I19" si="2">SUM(C17:C18)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20">
        <f t="shared" si="2"/>
        <v>7214</v>
      </c>
      <c r="J19" s="53" t="str">
        <f>IFERROR(I19/E19,"N/A")</f>
        <v>N/A</v>
      </c>
      <c r="K19" s="20"/>
      <c r="L19" s="20">
        <f>SUM(L17:L18)</f>
        <v>7430</v>
      </c>
      <c r="M19" s="20">
        <f>SUM(M17:M18)</f>
        <v>7653</v>
      </c>
      <c r="N19" s="20">
        <f>SUM(N17:N18)</f>
        <v>7883</v>
      </c>
    </row>
    <row r="20" spans="2:14" x14ac:dyDescent="0.3">
      <c r="B20" s="5"/>
      <c r="C20" s="6"/>
      <c r="D20" s="6"/>
      <c r="E20" s="6"/>
      <c r="F20" s="6"/>
      <c r="G20" s="6"/>
      <c r="H20" s="6"/>
      <c r="I20" s="17"/>
      <c r="J20" s="17"/>
      <c r="K20" s="17"/>
      <c r="L20" s="17"/>
      <c r="M20" s="17"/>
      <c r="N20" s="17"/>
    </row>
    <row r="21" spans="2:14" s="1" customFormat="1" x14ac:dyDescent="0.3">
      <c r="B21" s="2" t="s">
        <v>35</v>
      </c>
      <c r="C21" s="7">
        <f t="shared" ref="C21:I21" si="3">0.5*SUM(C5:C20)</f>
        <v>93800</v>
      </c>
      <c r="D21" s="7">
        <f t="shared" si="3"/>
        <v>80992</v>
      </c>
      <c r="E21" s="7">
        <f t="shared" si="3"/>
        <v>95248</v>
      </c>
      <c r="F21" s="7">
        <f t="shared" si="3"/>
        <v>0</v>
      </c>
      <c r="G21" s="7">
        <f t="shared" si="3"/>
        <v>95248</v>
      </c>
      <c r="H21" s="7">
        <f t="shared" si="3"/>
        <v>91867.897665941622</v>
      </c>
      <c r="I21" s="7">
        <f t="shared" si="3"/>
        <v>86410</v>
      </c>
      <c r="J21" s="50">
        <f>IFERROR(I21/E21,"N/A")</f>
        <v>0.90721065009239044</v>
      </c>
      <c r="K21" s="7"/>
      <c r="L21" s="7">
        <f>0.5*SUM(L5:L20)</f>
        <v>89002</v>
      </c>
      <c r="M21" s="7">
        <f>0.5*SUM(M5:M20)</f>
        <v>91672</v>
      </c>
      <c r="N21" s="7">
        <f>0.5*SUM(N5:N20)</f>
        <v>94422</v>
      </c>
    </row>
    <row r="22" spans="2:14" x14ac:dyDescent="0.3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x14ac:dyDescent="0.3">
      <c r="B23" s="5" t="s">
        <v>84</v>
      </c>
      <c r="C23" s="6">
        <v>-6800</v>
      </c>
      <c r="D23" s="6">
        <v>-3968</v>
      </c>
      <c r="E23" s="6">
        <v>0</v>
      </c>
      <c r="F23" s="6"/>
      <c r="G23" s="6">
        <v>0</v>
      </c>
      <c r="H23" s="6"/>
      <c r="I23" s="92">
        <f>ROUND(C23*RPI*RPI,0)</f>
        <v>-7214</v>
      </c>
      <c r="J23" s="52" t="str">
        <f>IFERROR(I23/E23,"N/A")</f>
        <v>N/A</v>
      </c>
      <c r="K23" s="17"/>
      <c r="L23" s="6">
        <f>ROUND(I23*RPI,0)</f>
        <v>-7430</v>
      </c>
      <c r="M23" s="6">
        <f>ROUND(L23*RPI,0)</f>
        <v>-7653</v>
      </c>
      <c r="N23" s="6">
        <f>ROUND(M23*RPI,0)</f>
        <v>-7883</v>
      </c>
    </row>
    <row r="24" spans="2:14" x14ac:dyDescent="0.3">
      <c r="B24" s="5" t="s">
        <v>85</v>
      </c>
      <c r="C24" s="6">
        <v>-24000</v>
      </c>
      <c r="D24" s="6">
        <v>-24500</v>
      </c>
      <c r="E24" s="6">
        <v>-24000</v>
      </c>
      <c r="F24" s="6"/>
      <c r="G24" s="6">
        <v>-24000</v>
      </c>
      <c r="H24" s="6">
        <v>-24500</v>
      </c>
      <c r="I24" s="90">
        <v>-24500</v>
      </c>
      <c r="J24" s="49">
        <f>IFERROR(I24/E24,"N/A")</f>
        <v>1.0208333333333333</v>
      </c>
      <c r="K24" s="17"/>
      <c r="L24" s="6">
        <v>-24500</v>
      </c>
      <c r="M24" s="6">
        <v>-24500</v>
      </c>
      <c r="N24" s="6">
        <v>-24500</v>
      </c>
    </row>
    <row r="25" spans="2:14" s="1" customFormat="1" x14ac:dyDescent="0.3">
      <c r="B25" s="2" t="s">
        <v>34</v>
      </c>
      <c r="C25" s="7">
        <f t="shared" ref="C25:I25" si="4">SUM(C23:C24)</f>
        <v>-30800</v>
      </c>
      <c r="D25" s="7">
        <f t="shared" si="4"/>
        <v>-28468</v>
      </c>
      <c r="E25" s="7">
        <f t="shared" si="4"/>
        <v>-24000</v>
      </c>
      <c r="F25" s="7">
        <f t="shared" si="4"/>
        <v>0</v>
      </c>
      <c r="G25" s="7">
        <f t="shared" si="4"/>
        <v>-24000</v>
      </c>
      <c r="H25" s="7">
        <f t="shared" si="4"/>
        <v>-24500</v>
      </c>
      <c r="I25" s="7">
        <f t="shared" si="4"/>
        <v>-31714</v>
      </c>
      <c r="J25" s="50">
        <f>IFERROR(I25/E25,"N/A")</f>
        <v>1.3214166666666667</v>
      </c>
      <c r="K25" s="20"/>
      <c r="L25" s="7">
        <f>SUM(L23:L24)</f>
        <v>-31930</v>
      </c>
      <c r="M25" s="7">
        <f>SUM(M23:M24)</f>
        <v>-32153</v>
      </c>
      <c r="N25" s="7">
        <f>SUM(N23:N24)</f>
        <v>-32383</v>
      </c>
    </row>
    <row r="26" spans="2:14" x14ac:dyDescent="0.3">
      <c r="B26" s="5"/>
      <c r="C26" s="6"/>
      <c r="D26" s="6"/>
      <c r="E26" s="6"/>
      <c r="F26" s="6"/>
      <c r="G26" s="6"/>
      <c r="H26" s="6"/>
      <c r="I26" s="6"/>
      <c r="J26" s="6"/>
      <c r="K26" s="17"/>
      <c r="L26" s="6"/>
      <c r="M26" s="6"/>
      <c r="N26" s="6"/>
    </row>
    <row r="27" spans="2:14" s="1" customFormat="1" x14ac:dyDescent="0.3">
      <c r="B27" s="2" t="s">
        <v>33</v>
      </c>
      <c r="C27" s="7">
        <f t="shared" ref="C27:I27" si="5">C25+C21</f>
        <v>63000</v>
      </c>
      <c r="D27" s="7">
        <f t="shared" si="5"/>
        <v>52524</v>
      </c>
      <c r="E27" s="7">
        <f t="shared" si="5"/>
        <v>71248</v>
      </c>
      <c r="F27" s="7">
        <f t="shared" si="5"/>
        <v>0</v>
      </c>
      <c r="G27" s="7">
        <f t="shared" si="5"/>
        <v>71248</v>
      </c>
      <c r="H27" s="7">
        <f t="shared" si="5"/>
        <v>67367.897665941622</v>
      </c>
      <c r="I27" s="7">
        <f t="shared" si="5"/>
        <v>54696</v>
      </c>
      <c r="J27" s="50">
        <f>IFERROR(I27/E27,"N/A")</f>
        <v>0.76768470693914215</v>
      </c>
      <c r="K27" s="20"/>
      <c r="L27" s="7">
        <f>L25+L21</f>
        <v>57072</v>
      </c>
      <c r="M27" s="7">
        <f>M25+M21</f>
        <v>59519</v>
      </c>
      <c r="N27" s="7">
        <f>N25+N21</f>
        <v>62039</v>
      </c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CTax Options</vt:lpstr>
      <vt:lpstr>Summary</vt:lpstr>
      <vt:lpstr>Arts, Heritage and Museums</vt:lpstr>
      <vt:lpstr>Caravan and Camping</vt:lpstr>
      <vt:lpstr>CCTV</vt:lpstr>
      <vt:lpstr>Events, Grants and Civic</vt:lpstr>
      <vt:lpstr>Marina Theatre</vt:lpstr>
      <vt:lpstr>Allotments, Open Spaces &amp; EofE</vt:lpstr>
      <vt:lpstr>Sparrows Nest</vt:lpstr>
      <vt:lpstr>Belle Vue Park</vt:lpstr>
      <vt:lpstr>Kensington Gardens</vt:lpstr>
      <vt:lpstr>Kensington Gardens PC</vt:lpstr>
      <vt:lpstr>Play Areas</vt:lpstr>
      <vt:lpstr>Fen Park</vt:lpstr>
      <vt:lpstr>Denes Oval</vt:lpstr>
      <vt:lpstr>Normanston Park</vt:lpstr>
      <vt:lpstr>Triangle Market</vt:lpstr>
      <vt:lpstr>Triangle Market PC</vt:lpstr>
      <vt:lpstr>Pakefield Street PC</vt:lpstr>
      <vt:lpstr>Kirkley Cliff Road PC</vt:lpstr>
      <vt:lpstr>Lowestoft Cemetery PC</vt:lpstr>
      <vt:lpstr>Fen Park PC</vt:lpstr>
      <vt:lpstr>Miscellaneous</vt:lpstr>
      <vt:lpstr>Capital Works</vt:lpstr>
      <vt:lpstr>Offices</vt:lpstr>
      <vt:lpstr>Town Hall</vt:lpstr>
      <vt:lpstr>Admininstration</vt:lpstr>
      <vt:lpstr>Elections and fixed costs</vt:lpstr>
      <vt:lpstr>Staff, Training and CPD</vt:lpstr>
      <vt:lpstr>RPI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cp:lastPrinted>2018-12-12T10:20:46Z</cp:lastPrinted>
  <dcterms:created xsi:type="dcterms:W3CDTF">2018-10-19T10:07:03Z</dcterms:created>
  <dcterms:modified xsi:type="dcterms:W3CDTF">2019-01-25T16:35:54Z</dcterms:modified>
</cp:coreProperties>
</file>