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565" activeTab="8"/>
  </bookViews>
  <sheets>
    <sheet name="Net Summary (2)" sheetId="1" r:id="rId1"/>
    <sheet name="Summary Net" sheetId="2" state="hidden" r:id="rId2"/>
    <sheet name="Gross Summary (2)" sheetId="3" r:id="rId3"/>
    <sheet name="Summary Gross" sheetId="4" state="hidden" r:id="rId4"/>
    <sheet name="Museum" sheetId="5" r:id="rId5"/>
    <sheet name="Caravan Site" sheetId="6" r:id="rId6"/>
    <sheet name="CCTV" sheetId="7" r:id="rId7"/>
    <sheet name="Events" sheetId="8" r:id="rId8"/>
    <sheet name="Marina Theatre" sheetId="9" r:id="rId9"/>
    <sheet name="Open Spaces" sheetId="10" r:id="rId10"/>
    <sheet name="Sparrows Nest" sheetId="11" r:id="rId11"/>
    <sheet name="Belle Vue" sheetId="12" r:id="rId12"/>
    <sheet name="Kensington Gdns" sheetId="13" r:id="rId13"/>
    <sheet name="Play Areas" sheetId="14" r:id="rId14"/>
    <sheet name="Denes Oval" sheetId="15" r:id="rId15"/>
    <sheet name="Normanston Park" sheetId="16" r:id="rId16"/>
    <sheet name="Pakefield St PC" sheetId="17" r:id="rId17"/>
    <sheet name="The Triangle PC" sheetId="18" r:id="rId18"/>
    <sheet name="Kn Gdns PC" sheetId="19" r:id="rId19"/>
    <sheet name="Kirkley Cliff Rd PC" sheetId="20" r:id="rId20"/>
    <sheet name="Low Cemetery PC" sheetId="21" r:id="rId21"/>
    <sheet name="Fen Park PC" sheetId="22" r:id="rId22"/>
    <sheet name="Miscellaneous" sheetId="23" r:id="rId23"/>
    <sheet name="Offices" sheetId="24" r:id="rId24"/>
    <sheet name="Administration" sheetId="25" r:id="rId25"/>
    <sheet name="Reserve Balances" sheetId="26" r:id="rId26"/>
  </sheets>
  <definedNames>
    <definedName name="_xlnm.Print_Area" localSheetId="25">'Reserve Balances'!$A$4:$AO$40</definedName>
  </definedNames>
  <calcPr fullCalcOnLoad="1"/>
</workbook>
</file>

<file path=xl/sharedStrings.xml><?xml version="1.0" encoding="utf-8"?>
<sst xmlns="http://schemas.openxmlformats.org/spreadsheetml/2006/main" count="1134" uniqueCount="228">
  <si>
    <t>Total Income</t>
  </si>
  <si>
    <t>Support Services</t>
  </si>
  <si>
    <t>Capital / Other Adjs</t>
  </si>
  <si>
    <t>Pension Adjs</t>
  </si>
  <si>
    <t>Total</t>
  </si>
  <si>
    <t>£</t>
  </si>
  <si>
    <t>Total Indirect</t>
  </si>
  <si>
    <t>Marina Theatre</t>
  </si>
  <si>
    <t>Play Areas</t>
  </si>
  <si>
    <t>Denes Oval</t>
  </si>
  <si>
    <t>Normanston Park</t>
  </si>
  <si>
    <t>Administration</t>
  </si>
  <si>
    <t>Elections</t>
  </si>
  <si>
    <t>Training</t>
  </si>
  <si>
    <t>Equipment</t>
  </si>
  <si>
    <t>Printing</t>
  </si>
  <si>
    <t>Stationery</t>
  </si>
  <si>
    <t>Postage</t>
  </si>
  <si>
    <t>Telephones</t>
  </si>
  <si>
    <t>Subscriptions</t>
  </si>
  <si>
    <t>External Audit</t>
  </si>
  <si>
    <t>Internal Audit</t>
  </si>
  <si>
    <t>Insurance</t>
  </si>
  <si>
    <t>Advertising</t>
  </si>
  <si>
    <t>Bank Charges</t>
  </si>
  <si>
    <t>Professional Fees</t>
  </si>
  <si>
    <t>CCTV</t>
  </si>
  <si>
    <t>Pollard Piece Play Area</t>
  </si>
  <si>
    <t>Marshams Piece Play Area</t>
  </si>
  <si>
    <t>Open Space Raphael Walk</t>
  </si>
  <si>
    <t>Open Space 4 High Street</t>
  </si>
  <si>
    <t xml:space="preserve">Land Adjacent To 119 Notley Road </t>
  </si>
  <si>
    <t xml:space="preserve">Great Eastern Linear Park </t>
  </si>
  <si>
    <t>Land At Stoven Close</t>
  </si>
  <si>
    <t>Amenity Land Delius Close</t>
  </si>
  <si>
    <t>Car Park Links Road</t>
  </si>
  <si>
    <t xml:space="preserve">Civic &amp; Ceremonial </t>
  </si>
  <si>
    <t>Triangle Market</t>
  </si>
  <si>
    <t>Budget Contingency</t>
  </si>
  <si>
    <t>Playground off the Parklands</t>
  </si>
  <si>
    <t>Cotman Close Play Area</t>
  </si>
  <si>
    <t>Gunton Community Park Play Area</t>
  </si>
  <si>
    <t>Nightingale Road Play Area</t>
  </si>
  <si>
    <t>Parkhill Play Area (Bentley Drive)</t>
  </si>
  <si>
    <t>Rosedale Park inc play area</t>
  </si>
  <si>
    <t>St Margarets Play Area</t>
  </si>
  <si>
    <t>Thirlmere Walk Play Area</t>
  </si>
  <si>
    <t>Whitton Green Play Area</t>
  </si>
  <si>
    <t>Drying Rack</t>
  </si>
  <si>
    <t>Camping &amp; Caravan Site - Tingdene</t>
  </si>
  <si>
    <t>Business Rates</t>
  </si>
  <si>
    <t>Cleaning</t>
  </si>
  <si>
    <t>Furniture &amp; Equipment</t>
  </si>
  <si>
    <t>Machine R&amp;M</t>
  </si>
  <si>
    <t>Materials</t>
  </si>
  <si>
    <t>Laundry</t>
  </si>
  <si>
    <t>Telecommunications</t>
  </si>
  <si>
    <t>Planned Maintenance</t>
  </si>
  <si>
    <t>Responsive Maintenance</t>
  </si>
  <si>
    <t xml:space="preserve">Electricity </t>
  </si>
  <si>
    <t>Gas</t>
  </si>
  <si>
    <t>Insurances</t>
  </si>
  <si>
    <t>Total Expenditure</t>
  </si>
  <si>
    <t xml:space="preserve">Belle Vue Park </t>
  </si>
  <si>
    <t>Britten Road Play Area</t>
  </si>
  <si>
    <t>Net Expenditure</t>
  </si>
  <si>
    <t xml:space="preserve">Turnberry Close Playground </t>
  </si>
  <si>
    <t xml:space="preserve">London Road Play Equipment </t>
  </si>
  <si>
    <t>Pakefield Green Play Area (Wellington Road)</t>
  </si>
  <si>
    <t xml:space="preserve">Responsive Maintenance </t>
  </si>
  <si>
    <t>Electricity</t>
  </si>
  <si>
    <t>Total Premises</t>
  </si>
  <si>
    <t>Water</t>
  </si>
  <si>
    <t>2017/18 Budget</t>
  </si>
  <si>
    <t>2017/18 Budget YTD</t>
  </si>
  <si>
    <t>2017/18 Actual YTD</t>
  </si>
  <si>
    <t>2017/18 Variance YTD</t>
  </si>
  <si>
    <t>2019/20 Forecast</t>
  </si>
  <si>
    <t>2020/21 Forecast</t>
  </si>
  <si>
    <t>Total Supplies &amp; Services</t>
  </si>
  <si>
    <t>Exempt Property Lettings</t>
  </si>
  <si>
    <t>Responsive Repairs &amp; Maintenance</t>
  </si>
  <si>
    <t>Sparrows Nest Park &amp; Sports Ground</t>
  </si>
  <si>
    <t>Park Maintenance</t>
  </si>
  <si>
    <t>Sports Ground Maintenance</t>
  </si>
  <si>
    <t>Bowling Club Maintenance</t>
  </si>
  <si>
    <t>Vatable Leisure Activity Fees</t>
  </si>
  <si>
    <t>General Vatable Fees &amp; Charges</t>
  </si>
  <si>
    <t xml:space="preserve">Kensington Gardens Park, Lake, &amp; Sports Ground </t>
  </si>
  <si>
    <t>Water - Kirkley Fen Park</t>
  </si>
  <si>
    <t>Business Rates - Kirkley RG</t>
  </si>
  <si>
    <t>Kirkley Fen Park and Play Area</t>
  </si>
  <si>
    <t>Pakefield Street Public Convenience</t>
  </si>
  <si>
    <t>The Triangle Public Convenience</t>
  </si>
  <si>
    <t>Kensington Gardens Public Convenience</t>
  </si>
  <si>
    <t>Lowestoft Cemetery Public Convenience</t>
  </si>
  <si>
    <t>Kirkley Cliff Road Public Convenience</t>
  </si>
  <si>
    <t>Uplands Community Centre Exempt Lettings</t>
  </si>
  <si>
    <t>Lighthouse Café / Arnolds Bequest Exempt Lttngs</t>
  </si>
  <si>
    <t>Allotments - Administration Fee</t>
  </si>
  <si>
    <t>Salaries</t>
  </si>
  <si>
    <t xml:space="preserve">Employers National Insurance </t>
  </si>
  <si>
    <t>Employers Superannuation</t>
  </si>
  <si>
    <t>Total Direct Employees</t>
  </si>
  <si>
    <t>Total Other Employees</t>
  </si>
  <si>
    <t>Travel Expenses</t>
  </si>
  <si>
    <t>Total Transport</t>
  </si>
  <si>
    <t>Total Third Party Payments</t>
  </si>
  <si>
    <t>Total Recharges / Other</t>
  </si>
  <si>
    <t>Lowestoft Town Council Summary Budget - Net Expenditure</t>
  </si>
  <si>
    <t>Total Net Expenditure</t>
  </si>
  <si>
    <t>2017/18 Forecast</t>
  </si>
  <si>
    <t>Repairs &amp; Maintenance Provision</t>
  </si>
  <si>
    <t>Allotments Rental Income</t>
  </si>
  <si>
    <t>Maintenance Charges</t>
  </si>
  <si>
    <t>Total Maintenance Charges</t>
  </si>
  <si>
    <t>2017/18 WDC Commitments</t>
  </si>
  <si>
    <t>Asset Management</t>
  </si>
  <si>
    <t>Play Areas - General</t>
  </si>
  <si>
    <t>Misc Supplies &amp; Services / Advertising</t>
  </si>
  <si>
    <t>Property Lettings</t>
  </si>
  <si>
    <t>Building Maintenance</t>
  </si>
  <si>
    <t>Marina Theatre Trust Management Fee</t>
  </si>
  <si>
    <t>2017/18 Commitments</t>
  </si>
  <si>
    <t>2017/18 VAT</t>
  </si>
  <si>
    <t>Rents</t>
  </si>
  <si>
    <t>Leisure Activity Fees &amp; Charges</t>
  </si>
  <si>
    <t>Rental Income</t>
  </si>
  <si>
    <t>Whitton Estate Meeting Hall</t>
  </si>
  <si>
    <t>Expenditure</t>
  </si>
  <si>
    <t>Income</t>
  </si>
  <si>
    <t>Lowestoft Town Council Summary Budget - Gross Expenditure &amp; Income</t>
  </si>
  <si>
    <t>Miscellaneous &amp; Reserve Contributions</t>
  </si>
  <si>
    <t>Total Contributions to Reserves</t>
  </si>
  <si>
    <t>Sparrows Nest R&amp;M Provision</t>
  </si>
  <si>
    <t>Belle Vue R&amp;M Provision</t>
  </si>
  <si>
    <t>2018/19 Draft Budget</t>
  </si>
  <si>
    <t>BID Levy</t>
  </si>
  <si>
    <t>Repairs and Maintenance Provision</t>
  </si>
  <si>
    <t xml:space="preserve">Play Areas Refurbishment Provision </t>
  </si>
  <si>
    <t>2011/12 Movements</t>
  </si>
  <si>
    <t>2013/14 Movements</t>
  </si>
  <si>
    <t>2014/15 Movements</t>
  </si>
  <si>
    <t>2015/16 Movements</t>
  </si>
  <si>
    <t>2016/17 Movements</t>
  </si>
  <si>
    <t>ACTUAL</t>
  </si>
  <si>
    <t>BUDGET</t>
  </si>
  <si>
    <t>Closing  Balance 31/03/12</t>
  </si>
  <si>
    <t>Opening Balance 01/04/13</t>
  </si>
  <si>
    <t>Closing  Balance 31/03/14</t>
  </si>
  <si>
    <t>Closing  Balance 31/03/15</t>
  </si>
  <si>
    <t>Current Closing  Balance 31/03/17</t>
  </si>
  <si>
    <t>2017/18 Movements</t>
  </si>
  <si>
    <t>Current Closing  Balance 31/03/18</t>
  </si>
  <si>
    <t>Closing  Balance 31/03/18</t>
  </si>
  <si>
    <t>2018/19 Movements</t>
  </si>
  <si>
    <t>Current Closing  Balance 31/03/19</t>
  </si>
  <si>
    <t>Closing  Balance 31/03/19</t>
  </si>
  <si>
    <t>2019/20 Movements</t>
  </si>
  <si>
    <t>Current Closing  Balance 31/03/20</t>
  </si>
  <si>
    <t>Closing  Balance 31/03/20</t>
  </si>
  <si>
    <t>2020/21 Movements</t>
  </si>
  <si>
    <t>Closing  Balance 31/03/21</t>
  </si>
  <si>
    <t>Opening Balance 01/04/11</t>
  </si>
  <si>
    <t>Transfers In</t>
  </si>
  <si>
    <t>Transfers Out</t>
  </si>
  <si>
    <t>1617 Current Transfers In</t>
  </si>
  <si>
    <t>1617 Current Transfers Out</t>
  </si>
  <si>
    <t>1617 Revised Transfers between Reserves</t>
  </si>
  <si>
    <t>1718 Current Transfers In</t>
  </si>
  <si>
    <t>1718 Current Transfers Out</t>
  </si>
  <si>
    <t>1819 Current Transfers In</t>
  </si>
  <si>
    <t>1819 Current Transfers Out</t>
  </si>
  <si>
    <t>1920 Current Transfers In</t>
  </si>
  <si>
    <t>1920 Current Transfers Out</t>
  </si>
  <si>
    <t>£000</t>
  </si>
  <si>
    <t>Earmarked Reserves - Revenue:</t>
  </si>
  <si>
    <t>Opening Balance 01/04/17</t>
  </si>
  <si>
    <t>Parks Repairs &amp; Maintenance</t>
  </si>
  <si>
    <t xml:space="preserve">Play Areas Refurbishment </t>
  </si>
  <si>
    <t xml:space="preserve">Elections </t>
  </si>
  <si>
    <t>Earmarked Reserves - Revenue Total</t>
  </si>
  <si>
    <t>Lowestoft Town Council Reserve Balances</t>
  </si>
  <si>
    <t>2017/18 - 2020/21</t>
  </si>
  <si>
    <t>Events and Grants</t>
  </si>
  <si>
    <t>Grants</t>
  </si>
  <si>
    <t xml:space="preserve">Arts, Heritage, &amp; Museums </t>
  </si>
  <si>
    <t>Lowestoft Collection</t>
  </si>
  <si>
    <t>Allotments, Open Spaces, &amp; East of England Park</t>
  </si>
  <si>
    <t>East of England Park</t>
  </si>
  <si>
    <t>Apprentices</t>
  </si>
  <si>
    <t>Interim Support / Staffing Contingency</t>
  </si>
  <si>
    <t>Provision for Legal Costs</t>
  </si>
  <si>
    <t>Condition Survey</t>
  </si>
  <si>
    <t>Miscellaneous &amp; Meetings</t>
  </si>
  <si>
    <t>Whitton Estate Meeting Hall R&amp;M</t>
  </si>
  <si>
    <t>Gunton Residents Hall R&amp;M</t>
  </si>
  <si>
    <t>Civic &amp; Ceremonial</t>
  </si>
  <si>
    <t>Legal Costs Reserve</t>
  </si>
  <si>
    <t>Culture &amp; Heritage</t>
  </si>
  <si>
    <t>Public Conveniences</t>
  </si>
  <si>
    <t>Earmarked Reserves - Capital:</t>
  </si>
  <si>
    <t>Earmarked Reserves - Capital Total</t>
  </si>
  <si>
    <t>Other Reserves:</t>
  </si>
  <si>
    <t>Arnolds Bequest Charity</t>
  </si>
  <si>
    <t>Community Infrastructure Levy</t>
  </si>
  <si>
    <t>Capital</t>
  </si>
  <si>
    <t>Fen Park Public Conveniences</t>
  </si>
  <si>
    <t>Fen Park Public Convenience</t>
  </si>
  <si>
    <t>Office Accommodation &amp; Town Hall</t>
  </si>
  <si>
    <t>Parks, Sports Grounds, &amp; Play Areas</t>
  </si>
  <si>
    <t>January 2018</t>
  </si>
  <si>
    <t>IT &amp; Telephone (Via ECCH)</t>
  </si>
  <si>
    <t>Meeting Room Letting</t>
  </si>
  <si>
    <t xml:space="preserve">*The loan will be for 20 years and the asset will be registered with Lowestoft Town Council.  The Marina Theatre Trust will then pay </t>
  </si>
  <si>
    <t>Repayment of loan re: purchase of Zenith building*</t>
  </si>
  <si>
    <t>Property lettings (Payment by Marina Trust for rent of the Zenith building</t>
  </si>
  <si>
    <t>Addition to LTC Marina Reserve</t>
  </si>
  <si>
    <t xml:space="preserve">£20,000 for use of the Zenith building for the period of the loan.  This will either be deducted from their management fee (currently </t>
  </si>
  <si>
    <t>including through any surplus from payments from the Trust to the Town Council for use of the Zenith building.</t>
  </si>
  <si>
    <t xml:space="preserve">In the unlikely event that  the need arose for the Town Council to cover the loan repayments, should the Trust cease as an entity,   </t>
  </si>
  <si>
    <t xml:space="preserve">the Town Council would have access to the £150,000 management fee as a reserve.  The Town Council would then have the option </t>
  </si>
  <si>
    <t>to enter into another management contract with a related agreement for payments to cover the loan.</t>
  </si>
  <si>
    <t>The purchase of the Zenith building improves the viability of the theatre and the ongoing stability of the Marina Theatre Trust.</t>
  </si>
  <si>
    <t>The payment for use has been agreed between the Council and Trust so that it covers Council's costs but also reduces the Trust's</t>
  </si>
  <si>
    <t>outgoings saving them between £4k - £7k per annum which they can use to build their own reserves and sustainability. Supporting the</t>
  </si>
  <si>
    <t xml:space="preserve">Trust is part of the package of measures which help minimise any financial risks.  </t>
  </si>
  <si>
    <t xml:space="preserve">budgeted at £150,000) or paid as an addional amount to LTC directly by the Trust.  The Council will build its reserve for the Theatre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</si>
</sst>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\ ;\(#,##0\)"/>
    <numFmt numFmtId="167" formatCode="#,##0.00;\(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164" fontId="38" fillId="0" borderId="0" xfId="42" applyNumberFormat="1" applyFont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165" fontId="0" fillId="0" borderId="10" xfId="42" applyNumberFormat="1" applyFont="1" applyFill="1" applyBorder="1" applyAlignment="1">
      <alignment/>
    </xf>
    <xf numFmtId="165" fontId="38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38" fillId="0" borderId="10" xfId="0" applyFont="1" applyBorder="1" applyAlignment="1">
      <alignment horizontal="center" wrapText="1"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38" fillId="0" borderId="10" xfId="0" applyFont="1" applyBorder="1" applyAlignment="1">
      <alignment horizontal="right" wrapText="1"/>
    </xf>
    <xf numFmtId="0" fontId="38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7" fontId="38" fillId="0" borderId="10" xfId="0" applyNumberFormat="1" applyFont="1" applyBorder="1" applyAlignment="1" quotePrefix="1">
      <alignment wrapText="1"/>
    </xf>
    <xf numFmtId="0" fontId="38" fillId="0" borderId="10" xfId="0" applyFont="1" applyFill="1" applyBorder="1" applyAlignment="1">
      <alignment horizontal="right" wrapText="1"/>
    </xf>
    <xf numFmtId="165" fontId="38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3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wrapText="1"/>
    </xf>
    <xf numFmtId="165" fontId="0" fillId="0" borderId="11" xfId="42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1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3" fontId="22" fillId="33" borderId="10" xfId="0" applyNumberFormat="1" applyFont="1" applyFill="1" applyBorder="1" applyAlignment="1">
      <alignment horizontal="center" wrapText="1"/>
    </xf>
    <xf numFmtId="3" fontId="20" fillId="0" borderId="10" xfId="0" applyNumberFormat="1" applyFont="1" applyFill="1" applyBorder="1" applyAlignment="1" quotePrefix="1">
      <alignment horizontal="center" wrapText="1"/>
    </xf>
    <xf numFmtId="3" fontId="21" fillId="33" borderId="10" xfId="0" applyNumberFormat="1" applyFont="1" applyFill="1" applyBorder="1" applyAlignment="1" quotePrefix="1">
      <alignment horizontal="center" wrapText="1"/>
    </xf>
    <xf numFmtId="4" fontId="20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right"/>
    </xf>
    <xf numFmtId="166" fontId="21" fillId="0" borderId="10" xfId="0" applyNumberFormat="1" applyFont="1" applyFill="1" applyBorder="1" applyAlignment="1">
      <alignment horizontal="right"/>
    </xf>
    <xf numFmtId="166" fontId="21" fillId="33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166" fontId="21" fillId="33" borderId="10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166" fontId="21" fillId="0" borderId="12" xfId="0" applyNumberFormat="1" applyFont="1" applyFill="1" applyBorder="1" applyAlignment="1">
      <alignment horizontal="right"/>
    </xf>
    <xf numFmtId="166" fontId="20" fillId="0" borderId="13" xfId="0" applyNumberFormat="1" applyFont="1" applyFill="1" applyBorder="1" applyAlignment="1">
      <alignment horizontal="right"/>
    </xf>
    <xf numFmtId="166" fontId="21" fillId="0" borderId="14" xfId="0" applyNumberFormat="1" applyFont="1" applyFill="1" applyBorder="1" applyAlignment="1">
      <alignment horizontal="right"/>
    </xf>
    <xf numFmtId="166" fontId="20" fillId="0" borderId="14" xfId="0" applyNumberFormat="1" applyFont="1" applyFill="1" applyBorder="1" applyAlignment="1">
      <alignment horizontal="right"/>
    </xf>
    <xf numFmtId="166" fontId="23" fillId="0" borderId="14" xfId="0" applyNumberFormat="1" applyFont="1" applyFill="1" applyBorder="1" applyAlignment="1">
      <alignment horizontal="right"/>
    </xf>
    <xf numFmtId="0" fontId="40" fillId="0" borderId="15" xfId="0" applyFont="1" applyBorder="1" applyAlignment="1">
      <alignment wrapText="1"/>
    </xf>
    <xf numFmtId="4" fontId="20" fillId="0" borderId="16" xfId="0" applyNumberFormat="1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vertical="top"/>
    </xf>
    <xf numFmtId="0" fontId="20" fillId="0" borderId="17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17" fontId="0" fillId="0" borderId="10" xfId="0" applyNumberFormat="1" applyFont="1" applyBorder="1" applyAlignment="1" quotePrefix="1">
      <alignment wrapText="1"/>
    </xf>
    <xf numFmtId="164" fontId="0" fillId="0" borderId="10" xfId="42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166" fontId="23" fillId="0" borderId="10" xfId="0" applyNumberFormat="1" applyFont="1" applyFill="1" applyBorder="1" applyAlignment="1">
      <alignment horizontal="right"/>
    </xf>
    <xf numFmtId="166" fontId="22" fillId="0" borderId="10" xfId="0" applyNumberFormat="1" applyFont="1" applyFill="1" applyBorder="1" applyAlignment="1">
      <alignment horizontal="right"/>
    </xf>
    <xf numFmtId="166" fontId="23" fillId="33" borderId="10" xfId="0" applyNumberFormat="1" applyFont="1" applyFill="1" applyBorder="1" applyAlignment="1">
      <alignment horizontal="right"/>
    </xf>
    <xf numFmtId="166" fontId="22" fillId="33" borderId="10" xfId="0" applyNumberFormat="1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/>
    </xf>
    <xf numFmtId="164" fontId="20" fillId="0" borderId="10" xfId="42" applyNumberFormat="1" applyFont="1" applyFill="1" applyBorder="1" applyAlignment="1">
      <alignment/>
    </xf>
    <xf numFmtId="166" fontId="23" fillId="0" borderId="18" xfId="0" applyNumberFormat="1" applyFont="1" applyFill="1" applyBorder="1" applyAlignment="1">
      <alignment horizontal="right"/>
    </xf>
    <xf numFmtId="166" fontId="23" fillId="0" borderId="11" xfId="0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166" fontId="22" fillId="33" borderId="11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165" fontId="0" fillId="0" borderId="10" xfId="42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0" fillId="0" borderId="0" xfId="0" applyAlignment="1">
      <alignment wrapText="1"/>
    </xf>
    <xf numFmtId="0" fontId="20" fillId="0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vertical="top"/>
    </xf>
    <xf numFmtId="3" fontId="21" fillId="33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3" fontId="20" fillId="0" borderId="16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3" fontId="20" fillId="0" borderId="20" xfId="0" applyNumberFormat="1" applyFont="1" applyFill="1" applyBorder="1" applyAlignment="1">
      <alignment horizontal="center"/>
    </xf>
    <xf numFmtId="3" fontId="20" fillId="0" borderId="21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23" xfId="0" applyNumberFormat="1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PageLayoutView="0" workbookViewId="0" topLeftCell="B4">
      <selection activeCell="W27" sqref="W2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109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9">
        <f>Museum!L15</f>
        <v>2044.395</v>
      </c>
      <c r="M5" s="9">
        <f>Museum!M15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9">
        <f>'Caravan Site'!L13</f>
        <v>-78700</v>
      </c>
      <c r="M6" s="9">
        <f>'Caravan Site'!M13</f>
        <v>-78700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CCTV!C17</f>
        <v>292400</v>
      </c>
      <c r="D7" s="9">
        <f>CCTV!D17</f>
        <v>138405.84791386273</v>
      </c>
      <c r="E7" s="9">
        <f>CCTV!E17</f>
        <v>90386</v>
      </c>
      <c r="F7" s="9">
        <f>CCTV!F17</f>
        <v>45910.847913862715</v>
      </c>
      <c r="G7" s="9">
        <f>CCTV!G17</f>
        <v>117894.15208613727</v>
      </c>
      <c r="H7" s="9">
        <f>CCTV!H17</f>
        <v>-2109</v>
      </c>
      <c r="I7" s="9">
        <f>CCTV!I17</f>
        <v>18042.960969044412</v>
      </c>
      <c r="J7" s="9">
        <f>CCTV!J17</f>
        <v>255245</v>
      </c>
      <c r="K7" s="9">
        <f>CCTV!K17</f>
        <v>264171.85</v>
      </c>
      <c r="L7" s="9">
        <f>CCTV!L17</f>
        <v>272097.0055</v>
      </c>
      <c r="M7" s="9">
        <f>CCTV!M17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9">
        <f>Events!L17</f>
        <v>47666.99</v>
      </c>
      <c r="M8" s="9">
        <f>Events!M17</f>
        <v>47701.9997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Theatre'!C20</f>
        <v>159100</v>
      </c>
      <c r="D9" s="9">
        <f>'Marina Theatre'!D20</f>
        <v>154207</v>
      </c>
      <c r="E9" s="9">
        <f>'Marina Theatre'!E20</f>
        <v>207</v>
      </c>
      <c r="F9" s="9">
        <f>'Marina Theatre'!F20</f>
        <v>150000</v>
      </c>
      <c r="G9" s="9">
        <f>'Marina Theatre'!G20</f>
        <v>0</v>
      </c>
      <c r="H9" s="9">
        <f>'Marina Theatre'!H20</f>
        <v>-4000</v>
      </c>
      <c r="I9" s="9">
        <f>'Marina Theatre'!I20</f>
        <v>0</v>
      </c>
      <c r="J9" s="9">
        <f>'Marina Theatre'!J20</f>
        <v>170100</v>
      </c>
      <c r="K9" s="9">
        <f>'Marina Theatre'!K20</f>
        <v>160000</v>
      </c>
      <c r="L9" s="9">
        <f>'Marina Theatre'!L20</f>
        <v>160000</v>
      </c>
      <c r="M9" s="9">
        <f>'Marina Theatre'!M20</f>
        <v>160000</v>
      </c>
      <c r="N9" s="2"/>
      <c r="O9" s="2"/>
      <c r="P9" s="2"/>
      <c r="Q9" s="2"/>
      <c r="R9" s="2"/>
    </row>
    <row r="10" spans="2:18" ht="15">
      <c r="B10" s="5" t="s">
        <v>210</v>
      </c>
      <c r="C10" s="9">
        <f>SUM(C11:C17)</f>
        <v>408400</v>
      </c>
      <c r="D10" s="9">
        <f aca="true" t="shared" si="0" ref="D10:M10">SUM(D11:D17)</f>
        <v>195500.44414535668</v>
      </c>
      <c r="E10" s="9">
        <f t="shared" si="0"/>
        <v>132876.9851951548</v>
      </c>
      <c r="F10" s="9">
        <f t="shared" si="0"/>
        <v>75350.07537012114</v>
      </c>
      <c r="G10" s="9">
        <f t="shared" si="0"/>
        <v>151051.45760430687</v>
      </c>
      <c r="H10" s="9">
        <f t="shared" si="0"/>
        <v>12726.616419919243</v>
      </c>
      <c r="I10" s="9">
        <f t="shared" si="0"/>
        <v>28887.21399730821</v>
      </c>
      <c r="J10" s="9">
        <f t="shared" si="0"/>
        <v>400155.3</v>
      </c>
      <c r="K10" s="9">
        <f t="shared" si="0"/>
        <v>570678.9</v>
      </c>
      <c r="L10" s="9">
        <f t="shared" si="0"/>
        <v>584010.5580000001</v>
      </c>
      <c r="M10" s="9">
        <f t="shared" si="0"/>
        <v>597751.2657400001</v>
      </c>
      <c r="N10" s="2"/>
      <c r="O10" s="2"/>
      <c r="P10" s="2"/>
      <c r="Q10" s="2"/>
      <c r="R10" s="2"/>
    </row>
    <row r="11" spans="2:18" ht="15" hidden="1">
      <c r="B11" s="5" t="str">
        <f>'Open Spaces'!B2</f>
        <v>Allotments, Open Spaces, &amp; East of England Park</v>
      </c>
      <c r="C11" s="9">
        <f>'Open Spaces'!C21</f>
        <v>7200</v>
      </c>
      <c r="D11" s="9">
        <f>'Open Spaces'!D21</f>
        <v>4274.697173620458</v>
      </c>
      <c r="E11" s="9">
        <f>'Open Spaces'!E21</f>
        <v>3138.4925975773895</v>
      </c>
      <c r="F11" s="9">
        <f>'Open Spaces'!F21</f>
        <v>1136.2045760430685</v>
      </c>
      <c r="G11" s="9">
        <f>'Open Spaces'!G21</f>
        <v>2925.3028263795422</v>
      </c>
      <c r="H11" s="9">
        <f>'Open Spaces'!H21</f>
        <v>0</v>
      </c>
      <c r="I11" s="9">
        <f>'Open Spaces'!I21</f>
        <v>447.69851951547776</v>
      </c>
      <c r="J11" s="9">
        <f>'Open Spaces'!J21</f>
        <v>6675.3</v>
      </c>
      <c r="K11" s="9">
        <f>'Open Spaces'!K21</f>
        <v>81895.8</v>
      </c>
      <c r="L11" s="9">
        <f>'Open Spaces'!L21</f>
        <v>82091.41500000002</v>
      </c>
      <c r="M11" s="9">
        <f>'Open Spaces'!M21</f>
        <v>82292.89845000001</v>
      </c>
      <c r="N11" s="2"/>
      <c r="O11" s="2"/>
      <c r="P11" s="2"/>
      <c r="Q11" s="2"/>
      <c r="R11" s="2"/>
    </row>
    <row r="12" spans="2:18" ht="15" hidden="1">
      <c r="B12" s="5" t="str">
        <f>'Sparrows Nest'!B2</f>
        <v>Sparrows Nest Park &amp; Sports Ground</v>
      </c>
      <c r="C12" s="9">
        <f>'Sparrows Nest'!C23</f>
        <v>100700</v>
      </c>
      <c r="D12" s="9">
        <f>'Sparrows Nest'!D23</f>
        <v>34603.562584118445</v>
      </c>
      <c r="E12" s="9">
        <f>'Sparrows Nest'!E23</f>
        <v>30802.802153432036</v>
      </c>
      <c r="F12" s="9">
        <f>'Sparrows Nest'!F23</f>
        <v>21670.37685060565</v>
      </c>
      <c r="G12" s="9">
        <f>'Sparrows Nest'!G23</f>
        <v>18530.820995962316</v>
      </c>
      <c r="H12" s="9">
        <f>'Sparrows Nest'!H23</f>
        <v>17869.616419919243</v>
      </c>
      <c r="I12" s="9">
        <f>'Sparrows Nest'!I23</f>
        <v>8605.760430686407</v>
      </c>
      <c r="J12" s="9">
        <f>'Sparrows Nest'!J23</f>
        <v>98945</v>
      </c>
      <c r="K12" s="9">
        <f>'Sparrows Nest'!K23</f>
        <v>108947.6</v>
      </c>
      <c r="L12" s="9">
        <f>'Sparrows Nest'!L23</f>
        <v>111802.628</v>
      </c>
      <c r="M12" s="9">
        <f>'Sparrows Nest'!M23</f>
        <v>114752.40684000001</v>
      </c>
      <c r="N12" s="2"/>
      <c r="O12" s="2"/>
      <c r="P12" s="2"/>
      <c r="Q12" s="2"/>
      <c r="R12" s="2"/>
    </row>
    <row r="13" spans="2:18" ht="15" hidden="1">
      <c r="B13" s="5" t="str">
        <f>'Belle Vue'!B2</f>
        <v>Belle Vue Park </v>
      </c>
      <c r="C13" s="9">
        <f>'Belle Vue'!C17</f>
        <v>14600</v>
      </c>
      <c r="D13" s="9">
        <f>'Belle Vue'!D17</f>
        <v>8220.598923283984</v>
      </c>
      <c r="E13" s="9">
        <f>'Belle Vue'!E17</f>
        <v>4444</v>
      </c>
      <c r="F13" s="9">
        <f>'Belle Vue'!F17</f>
        <v>2885.598923283984</v>
      </c>
      <c r="G13" s="9">
        <f>'Belle Vue'!G17</f>
        <v>7429.401076716016</v>
      </c>
      <c r="H13" s="9">
        <f>'Belle Vue'!H17</f>
        <v>-891</v>
      </c>
      <c r="I13" s="9">
        <f>'Belle Vue'!I17</f>
        <v>1137.0121130551818</v>
      </c>
      <c r="J13" s="9">
        <f>'Belle Vue'!J17</f>
        <v>11830</v>
      </c>
      <c r="K13" s="9">
        <f>'Belle Vue'!K17</f>
        <v>13193</v>
      </c>
      <c r="L13" s="9">
        <f>'Belle Vue'!L17</f>
        <v>13692.89</v>
      </c>
      <c r="M13" s="9">
        <f>'Belle Vue'!M17</f>
        <v>14207.776700000002</v>
      </c>
      <c r="N13" s="2"/>
      <c r="O13" s="2"/>
      <c r="P13" s="2"/>
      <c r="Q13" s="2"/>
      <c r="R13" s="2"/>
    </row>
    <row r="14" spans="2:18" ht="15" hidden="1">
      <c r="B14" s="5" t="str">
        <f>'Kensington Gdns'!B2</f>
        <v>Kensington Gardens Park, Lake, &amp; Sports Ground </v>
      </c>
      <c r="C14" s="9">
        <f>'Kensington Gdns'!C20</f>
        <v>83300</v>
      </c>
      <c r="D14" s="9">
        <f>'Kensington Gdns'!D20</f>
        <v>43428.10901749664</v>
      </c>
      <c r="E14" s="9">
        <f>'Kensington Gdns'!E20</f>
        <v>26237</v>
      </c>
      <c r="F14" s="9">
        <f>'Kensington Gdns'!F20</f>
        <v>13772.109017496638</v>
      </c>
      <c r="G14" s="9">
        <f>'Kensington Gdns'!G20</f>
        <v>41278.89098250336</v>
      </c>
      <c r="H14" s="9">
        <f>'Kensington Gdns'!H20</f>
        <v>-3419</v>
      </c>
      <c r="I14" s="9">
        <f>'Kensington Gdns'!I20</f>
        <v>6317.523553162853</v>
      </c>
      <c r="J14" s="9">
        <f>'Kensington Gdns'!J20</f>
        <v>83260</v>
      </c>
      <c r="K14" s="9">
        <f>'Kensington Gdns'!K20</f>
        <v>95051.65</v>
      </c>
      <c r="L14" s="9">
        <f>'Kensington Gdns'!L20</f>
        <v>97997.5495</v>
      </c>
      <c r="M14" s="9">
        <f>'Kensington Gdns'!M20</f>
        <v>101031.825985</v>
      </c>
      <c r="N14" s="2"/>
      <c r="O14" s="2"/>
      <c r="P14" s="2"/>
      <c r="Q14" s="2"/>
      <c r="R14" s="2"/>
    </row>
    <row r="15" spans="2:18" ht="15" hidden="1">
      <c r="B15" s="5" t="str">
        <f>'Play Areas'!B2</f>
        <v>Play Areas</v>
      </c>
      <c r="C15" s="9">
        <f>'Play Areas'!C33</f>
        <v>39300</v>
      </c>
      <c r="D15" s="9">
        <f>'Play Areas'!D33</f>
        <v>18505.518169582767</v>
      </c>
      <c r="E15" s="9">
        <f>'Play Areas'!E33</f>
        <v>12009.690444145352</v>
      </c>
      <c r="F15" s="9">
        <f>'Play Areas'!F33</f>
        <v>6095.827725437418</v>
      </c>
      <c r="G15" s="9">
        <f>'Play Areas'!G33</f>
        <v>0</v>
      </c>
      <c r="H15" s="9">
        <f>'Play Areas'!H33</f>
        <v>-400</v>
      </c>
      <c r="I15" s="9">
        <f>'Play Areas'!I33</f>
        <v>0</v>
      </c>
      <c r="J15" s="9">
        <f>'Play Areas'!J33</f>
        <v>38000</v>
      </c>
      <c r="K15" s="9">
        <f>'Play Areas'!K33</f>
        <v>89309</v>
      </c>
      <c r="L15" s="9">
        <f>'Play Areas'!L33</f>
        <v>90488.27</v>
      </c>
      <c r="M15" s="9">
        <f>'Play Areas'!M33</f>
        <v>91702.91810000001</v>
      </c>
      <c r="N15" s="2"/>
      <c r="O15" s="2"/>
      <c r="P15" s="2"/>
      <c r="Q15" s="2"/>
      <c r="R15" s="2"/>
    </row>
    <row r="16" spans="2:18" ht="15" hidden="1">
      <c r="B16" s="5" t="str">
        <f>'Denes Oval'!B2</f>
        <v>Denes Oval</v>
      </c>
      <c r="C16" s="9">
        <f>'Denes Oval'!C19</f>
        <v>76000</v>
      </c>
      <c r="D16" s="9">
        <f>'Denes Oval'!D19</f>
        <v>40857.009421265146</v>
      </c>
      <c r="E16" s="9">
        <f>'Denes Oval'!E19</f>
        <v>29719</v>
      </c>
      <c r="F16" s="9">
        <f>'Denes Oval'!F19</f>
        <v>14280.009421265142</v>
      </c>
      <c r="G16" s="9">
        <f>'Denes Oval'!G19</f>
        <v>38492.990578734854</v>
      </c>
      <c r="H16" s="9">
        <f>'Denes Oval'!H19</f>
        <v>3142</v>
      </c>
      <c r="I16" s="9">
        <f>'Denes Oval'!I19</f>
        <v>5891.144010767159</v>
      </c>
      <c r="J16" s="9">
        <f>'Denes Oval'!J19</f>
        <v>76095</v>
      </c>
      <c r="K16" s="9">
        <f>'Denes Oval'!K19</f>
        <v>88989.35</v>
      </c>
      <c r="L16" s="9">
        <f>'Denes Oval'!L19</f>
        <v>91659.0305</v>
      </c>
      <c r="M16" s="9">
        <f>'Denes Oval'!M19</f>
        <v>94408.80141500001</v>
      </c>
      <c r="N16" s="2"/>
      <c r="O16" s="2"/>
      <c r="P16" s="2"/>
      <c r="Q16" s="2"/>
      <c r="R16" s="2"/>
    </row>
    <row r="17" spans="2:18" ht="15" hidden="1">
      <c r="B17" s="5" t="str">
        <f>'Normanston Park'!B2</f>
        <v>Normanston Park</v>
      </c>
      <c r="C17" s="9">
        <f>'Normanston Park'!C18</f>
        <v>87300</v>
      </c>
      <c r="D17" s="9">
        <f>'Normanston Park'!D18</f>
        <v>45610.948855989234</v>
      </c>
      <c r="E17" s="9">
        <f>'Normanston Park'!E18</f>
        <v>26526</v>
      </c>
      <c r="F17" s="9">
        <f>'Normanston Park'!F18</f>
        <v>15509.948855989234</v>
      </c>
      <c r="G17" s="9">
        <f>'Normanston Park'!G18</f>
        <v>42394.051144010766</v>
      </c>
      <c r="H17" s="9">
        <f>'Normanston Park'!H18</f>
        <v>-3575</v>
      </c>
      <c r="I17" s="9">
        <f>'Normanston Park'!I18</f>
        <v>6488.075370121131</v>
      </c>
      <c r="J17" s="9">
        <f>'Normanston Park'!J18</f>
        <v>85350</v>
      </c>
      <c r="K17" s="9">
        <f>'Normanston Park'!K18</f>
        <v>93292.49999999999</v>
      </c>
      <c r="L17" s="9">
        <f>'Normanston Park'!L18</f>
        <v>96278.775</v>
      </c>
      <c r="M17" s="9">
        <f>'Normanston Park'!M18</f>
        <v>99354.63824999999</v>
      </c>
      <c r="N17" s="2"/>
      <c r="O17" s="2"/>
      <c r="P17" s="2"/>
      <c r="Q17" s="2"/>
      <c r="R17" s="2"/>
    </row>
    <row r="18" spans="2:18" ht="15">
      <c r="B18" s="5" t="s">
        <v>200</v>
      </c>
      <c r="C18" s="9">
        <f>SUM(C19:C24)</f>
        <v>51800</v>
      </c>
      <c r="D18" s="9">
        <f aca="true" t="shared" si="1" ref="D18:M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9">
        <f t="shared" si="1"/>
        <v>58688.116</v>
      </c>
      <c r="M18" s="9">
        <f t="shared" si="1"/>
        <v>60223.75948</v>
      </c>
      <c r="N18" s="2"/>
      <c r="O18" s="2"/>
      <c r="P18" s="2"/>
      <c r="Q18" s="2"/>
      <c r="R18" s="2"/>
    </row>
    <row r="19" spans="2:18" ht="15" hidden="1">
      <c r="B19" s="17" t="str">
        <f>'Pakefield St PC'!B2</f>
        <v>Pakefield Street Public Convenience</v>
      </c>
      <c r="C19" s="9">
        <f>'Pakefield St PC'!C16</f>
        <v>7800</v>
      </c>
      <c r="D19" s="9">
        <f>'Pakefield St PC'!D16</f>
        <v>4507.029609690444</v>
      </c>
      <c r="E19" s="9">
        <f>'Pakefield St PC'!E16</f>
        <v>3464</v>
      </c>
      <c r="F19" s="9">
        <f>'Pakefield St PC'!F16</f>
        <v>1207.029609690444</v>
      </c>
      <c r="G19" s="9">
        <f>'Pakefield St PC'!G16</f>
        <v>2692.970390309556</v>
      </c>
      <c r="H19" s="9">
        <f>'Pakefield St PC'!H16</f>
        <v>164</v>
      </c>
      <c r="I19" s="9">
        <f>'Pakefield St PC'!I16</f>
        <v>412.16689098250333</v>
      </c>
      <c r="J19" s="9">
        <f>'Pakefield St PC'!J16</f>
        <v>7942</v>
      </c>
      <c r="K19" s="9">
        <f>'Pakefield St PC'!K16</f>
        <v>7032.999999999999</v>
      </c>
      <c r="L19" s="9">
        <f>'Pakefield St PC'!L16</f>
        <v>7243.99</v>
      </c>
      <c r="M19" s="9">
        <f>'Pakefield St PC'!M16</f>
        <v>7461.309699999999</v>
      </c>
      <c r="N19" s="2"/>
      <c r="O19" s="2"/>
      <c r="P19" s="2"/>
      <c r="Q19" s="2"/>
      <c r="R19" s="2"/>
    </row>
    <row r="20" spans="2:18" ht="15" hidden="1">
      <c r="B20" s="5" t="str">
        <f>'The Triangle PC'!B2</f>
        <v>The Triangle Public Convenience</v>
      </c>
      <c r="C20" s="9">
        <f>'The Triangle PC'!C15</f>
        <v>9500</v>
      </c>
      <c r="D20" s="9">
        <f>'The Triangle PC'!D15</f>
        <v>5235.309555854643</v>
      </c>
      <c r="E20" s="9">
        <f>'The Triangle PC'!E15</f>
        <v>3440</v>
      </c>
      <c r="F20" s="9">
        <f>'The Triangle PC'!F15</f>
        <v>1190.3095558546433</v>
      </c>
      <c r="G20" s="9">
        <f>'The Triangle PC'!G15</f>
        <v>3064.690444145357</v>
      </c>
      <c r="H20" s="9">
        <f>'The Triangle PC'!H15</f>
        <v>-605</v>
      </c>
      <c r="I20" s="9">
        <f>'The Triangle PC'!I15</f>
        <v>469.0174966352624</v>
      </c>
      <c r="J20" s="9">
        <f>'The Triangle PC'!J15</f>
        <v>9495</v>
      </c>
      <c r="K20" s="9">
        <f>'The Triangle PC'!K15</f>
        <v>8685</v>
      </c>
      <c r="L20" s="9">
        <f>'The Triangle PC'!L15</f>
        <v>8945.55</v>
      </c>
      <c r="M20" s="9">
        <f>'The Triangle PC'!M15</f>
        <v>9213.9165</v>
      </c>
      <c r="N20" s="2"/>
      <c r="O20" s="2"/>
      <c r="P20" s="2"/>
      <c r="Q20" s="2"/>
      <c r="R20" s="2"/>
    </row>
    <row r="21" spans="2:18" ht="15" hidden="1">
      <c r="B21" s="5" t="str">
        <f>'Kn Gdns PC'!B2</f>
        <v>Kensington Gardens Public Convenience</v>
      </c>
      <c r="C21" s="9">
        <f>'Kn Gdns PC'!C17</f>
        <v>21800</v>
      </c>
      <c r="D21" s="9">
        <f>'Kn Gdns PC'!D17</f>
        <v>12542.578734858682</v>
      </c>
      <c r="E21" s="9">
        <f>'Kn Gdns PC'!E17</f>
        <v>8709</v>
      </c>
      <c r="F21" s="9">
        <f>'Kn Gdns PC'!F17</f>
        <v>3458.578734858681</v>
      </c>
      <c r="G21" s="9">
        <f>'Kn Gdns PC'!G17</f>
        <v>8729.421265141318</v>
      </c>
      <c r="H21" s="9">
        <f>'Kn Gdns PC'!H17</f>
        <v>-375</v>
      </c>
      <c r="I21" s="9">
        <f>'Kn Gdns PC'!I17</f>
        <v>1335.9892328398385</v>
      </c>
      <c r="J21" s="9">
        <f>'Kn Gdns PC'!J17</f>
        <v>22117</v>
      </c>
      <c r="K21" s="9">
        <f>'Kn Gdns PC'!K17</f>
        <v>20858.8</v>
      </c>
      <c r="L21" s="9">
        <f>'Kn Gdns PC'!L17</f>
        <v>21484.564000000002</v>
      </c>
      <c r="M21" s="9">
        <f>'Kn Gdns PC'!M17</f>
        <v>22129.10092</v>
      </c>
      <c r="N21" s="2"/>
      <c r="O21" s="2"/>
      <c r="P21" s="2"/>
      <c r="Q21" s="2"/>
      <c r="R21" s="2"/>
    </row>
    <row r="22" spans="2:18" ht="15" hidden="1">
      <c r="B22" s="5" t="str">
        <f>'Kirkley Cliff Rd PC'!B2</f>
        <v>Kirkley Cliff Road Public Convenience</v>
      </c>
      <c r="C22" s="9">
        <f>'Kirkley Cliff Rd PC'!C16</f>
        <v>6200</v>
      </c>
      <c r="D22" s="9">
        <f>'Kirkley Cliff Rd PC'!D16</f>
        <v>3321.1695827725434</v>
      </c>
      <c r="E22" s="9">
        <f>'Kirkley Cliff Rd PC'!E16</f>
        <v>2203</v>
      </c>
      <c r="F22" s="9">
        <f>'Kirkley Cliff Rd PC'!F16</f>
        <v>1118.1695827725437</v>
      </c>
      <c r="G22" s="9">
        <f>'Kirkley Cliff Rd PC'!G16</f>
        <v>2878.8304172274566</v>
      </c>
      <c r="H22" s="9">
        <f>'Kirkley Cliff Rd PC'!H16</f>
        <v>0</v>
      </c>
      <c r="I22" s="9">
        <f>'Kirkley Cliff Rd PC'!I16</f>
        <v>440.592193808883</v>
      </c>
      <c r="J22" s="9">
        <f>'Kirkley Cliff Rd PC'!J16</f>
        <v>6200</v>
      </c>
      <c r="K22" s="9">
        <f>'Kirkley Cliff Rd PC'!K16</f>
        <v>6416.999999999999</v>
      </c>
      <c r="L22" s="9">
        <f>'Kirkley Cliff Rd PC'!L16</f>
        <v>6609.509999999999</v>
      </c>
      <c r="M22" s="9">
        <f>'Kirkley Cliff Rd PC'!M16</f>
        <v>6807.7953</v>
      </c>
      <c r="N22" s="2"/>
      <c r="O22" s="2"/>
      <c r="P22" s="2"/>
      <c r="Q22" s="2"/>
      <c r="R22" s="2"/>
    </row>
    <row r="23" spans="2:18" ht="15" hidden="1">
      <c r="B23" s="5" t="str">
        <f>'Low Cemetery PC'!B2</f>
        <v>Lowestoft Cemetery Public Convenience</v>
      </c>
      <c r="C23" s="9">
        <f>'Low Cemetery PC'!C16</f>
        <v>6500</v>
      </c>
      <c r="D23" s="9">
        <f>'Low Cemetery PC'!D16</f>
        <v>3417.029609690444</v>
      </c>
      <c r="E23" s="9">
        <f>'Low Cemetery PC'!E16</f>
        <v>2187</v>
      </c>
      <c r="F23" s="9">
        <f>'Low Cemetery PC'!F16</f>
        <v>1130.029609690444</v>
      </c>
      <c r="G23" s="9">
        <f>'Low Cemetery PC'!G16</f>
        <v>2692.970390309556</v>
      </c>
      <c r="H23" s="9">
        <f>'Low Cemetery PC'!H16</f>
        <v>-100</v>
      </c>
      <c r="I23" s="9">
        <f>'Low Cemetery PC'!I16</f>
        <v>412.16689098250333</v>
      </c>
      <c r="J23" s="9">
        <f>'Low Cemetery PC'!J16</f>
        <v>6480</v>
      </c>
      <c r="K23" s="9">
        <f>'Low Cemetery PC'!K16</f>
        <v>6703.4</v>
      </c>
      <c r="L23" s="9">
        <f>'Low Cemetery PC'!L16</f>
        <v>6904.5019999999995</v>
      </c>
      <c r="M23" s="9">
        <f>'Low Cemetery PC'!M16</f>
        <v>7111.637059999999</v>
      </c>
      <c r="N23" s="2"/>
      <c r="O23" s="2"/>
      <c r="P23" s="2"/>
      <c r="Q23" s="2"/>
      <c r="R23" s="2"/>
    </row>
    <row r="24" spans="2:18" ht="15" hidden="1">
      <c r="B24" s="5" t="str">
        <f>'Fen Park PC'!B2</f>
        <v>Fen Park Public Convenience</v>
      </c>
      <c r="C24" s="9">
        <f>'Fen Park PC'!C17</f>
        <v>0</v>
      </c>
      <c r="D24" s="9">
        <f>'Fen Park PC'!D17</f>
        <v>0</v>
      </c>
      <c r="E24" s="9">
        <f>'Fen Park PC'!E17</f>
        <v>0</v>
      </c>
      <c r="F24" s="9">
        <f>'Fen Park PC'!F17</f>
        <v>0</v>
      </c>
      <c r="G24" s="9">
        <f>'Fen Park PC'!G17</f>
        <v>0</v>
      </c>
      <c r="H24" s="9">
        <f>'Fen Park PC'!H17</f>
        <v>0</v>
      </c>
      <c r="I24" s="9">
        <f>'Fen Park PC'!I17</f>
        <v>0</v>
      </c>
      <c r="J24" s="9">
        <f>'Fen Park PC'!J17</f>
        <v>0</v>
      </c>
      <c r="K24" s="9">
        <f>'Fen Park PC'!K17</f>
        <v>7500</v>
      </c>
      <c r="L24" s="9">
        <f>'Fen Park PC'!L17</f>
        <v>7500</v>
      </c>
      <c r="M24" s="9">
        <f>'Fen Park PC'!M17</f>
        <v>7500</v>
      </c>
      <c r="N24" s="2"/>
      <c r="O24" s="2"/>
      <c r="P24" s="2"/>
      <c r="Q24" s="2"/>
      <c r="R24" s="2"/>
    </row>
    <row r="25" spans="2:18" ht="15">
      <c r="B25" s="5" t="str">
        <f>Miscellaneous!B2</f>
        <v>Miscellaneous &amp; Reserve Contributions</v>
      </c>
      <c r="C25" s="9">
        <f>Miscellaneous!C26</f>
        <v>18800</v>
      </c>
      <c r="D25" s="9">
        <f>Miscellaneous!D26</f>
        <v>1749.7308209959624</v>
      </c>
      <c r="E25" s="9">
        <f>Miscellaneous!E26</f>
        <v>689.7711978465679</v>
      </c>
      <c r="F25" s="9">
        <f>Miscellaneous!F26</f>
        <v>1009.9596231493944</v>
      </c>
      <c r="G25" s="9">
        <f>Miscellaneous!G26</f>
        <v>2600.2691790040376</v>
      </c>
      <c r="H25" s="9">
        <f>Miscellaneous!H26</f>
        <v>-50</v>
      </c>
      <c r="I25" s="9">
        <f>Miscellaneous!I26</f>
        <v>397.9542395693136</v>
      </c>
      <c r="J25" s="9">
        <f>Miscellaneous!J26</f>
        <v>21250</v>
      </c>
      <c r="K25" s="9">
        <f>Miscellaneous!K26</f>
        <v>24018</v>
      </c>
      <c r="L25" s="9">
        <f>Miscellaneous!L26</f>
        <v>24191.04</v>
      </c>
      <c r="M25" s="9">
        <f>Miscellaneous!M26</f>
        <v>24369.2712</v>
      </c>
      <c r="N25" s="2"/>
      <c r="O25" s="2"/>
      <c r="P25" s="2"/>
      <c r="Q25" s="2"/>
      <c r="R25" s="2"/>
    </row>
    <row r="26" spans="2:18" ht="15">
      <c r="B26" s="5" t="str">
        <f>Offices!B2</f>
        <v>Office Accommodation &amp; Town Hall</v>
      </c>
      <c r="C26" s="9">
        <f>Offices!C29</f>
        <v>86120</v>
      </c>
      <c r="D26" s="9">
        <f>Offices!D29</f>
        <v>16430</v>
      </c>
      <c r="E26" s="9">
        <f>Offices!E29</f>
        <v>2519</v>
      </c>
      <c r="F26" s="9">
        <f>Offices!F29</f>
        <v>2324</v>
      </c>
      <c r="G26" s="9">
        <f>Offices!G29</f>
        <v>0</v>
      </c>
      <c r="H26" s="9">
        <f>Offices!H29</f>
        <v>-11587</v>
      </c>
      <c r="I26" s="9">
        <f>Offices!I29</f>
        <v>0</v>
      </c>
      <c r="J26" s="9">
        <f>Offices!J29</f>
        <v>18330</v>
      </c>
      <c r="K26" s="9">
        <f>Offices!K29</f>
        <v>62875.9</v>
      </c>
      <c r="L26" s="9">
        <f>Offices!L29</f>
        <v>64432.176999999996</v>
      </c>
      <c r="M26" s="9">
        <f>Offices!M29</f>
        <v>66035.75231</v>
      </c>
      <c r="N26" s="2"/>
      <c r="O26" s="2"/>
      <c r="P26" s="2"/>
      <c r="Q26" s="2"/>
      <c r="R26" s="2"/>
    </row>
    <row r="27" spans="2:18" ht="15">
      <c r="B27" s="5" t="str">
        <f>Administration!B2</f>
        <v>Administration</v>
      </c>
      <c r="C27" s="9">
        <f>Administration!C47</f>
        <v>455260</v>
      </c>
      <c r="D27" s="9" t="e">
        <f>Administration!D47</f>
        <v>#REF!</v>
      </c>
      <c r="E27" s="9" t="e">
        <f>Administration!E47</f>
        <v>#REF!</v>
      </c>
      <c r="F27" s="9" t="e">
        <f>Administration!F47</f>
        <v>#REF!</v>
      </c>
      <c r="G27" s="9" t="e">
        <f>Administration!G47</f>
        <v>#REF!</v>
      </c>
      <c r="H27" s="9" t="e">
        <f>Administration!H47</f>
        <v>#REF!</v>
      </c>
      <c r="I27" s="9" t="e">
        <f>Administration!I47</f>
        <v>#REF!</v>
      </c>
      <c r="J27" s="9">
        <f>Administration!J47</f>
        <v>254218.521</v>
      </c>
      <c r="K27" s="9">
        <f>Administration!K47</f>
        <v>470976.331</v>
      </c>
      <c r="L27" s="9">
        <f>Administration!L47</f>
        <v>492391.17562000005</v>
      </c>
      <c r="M27" s="9">
        <f>Administration!M47</f>
        <v>498946.4766724</v>
      </c>
      <c r="N27" s="2"/>
      <c r="O27" s="2"/>
      <c r="P27" s="2"/>
      <c r="Q27" s="2"/>
      <c r="R27" s="2"/>
    </row>
    <row r="28" spans="2:18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2"/>
    </row>
    <row r="29" spans="2:18" ht="15">
      <c r="B29" s="5" t="s">
        <v>110</v>
      </c>
      <c r="C29" s="9">
        <f>C5+C6+C7+C8+C9+C10+C18+C25+C26+C27</f>
        <v>1392280</v>
      </c>
      <c r="D29" s="9" t="e">
        <f aca="true" t="shared" si="2" ref="D29:M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1094382.821</v>
      </c>
      <c r="K29" s="9">
        <f t="shared" si="2"/>
        <v>1608847.6809999999</v>
      </c>
      <c r="L29" s="9">
        <f t="shared" si="2"/>
        <v>1626821.4571200002</v>
      </c>
      <c r="M29" s="9">
        <f t="shared" si="2"/>
        <v>1658682.1676174002</v>
      </c>
      <c r="N29" s="2"/>
      <c r="O29" s="2"/>
      <c r="P29" s="2"/>
      <c r="Q29" s="2"/>
      <c r="R29" s="2"/>
    </row>
    <row r="30" ht="15">
      <c r="B30" s="1"/>
    </row>
    <row r="33" ht="15">
      <c r="D33" s="3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4"/>
  <sheetViews>
    <sheetView zoomScalePageLayoutView="0" workbookViewId="0" topLeftCell="A1">
      <selection activeCell="S4" sqref="S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188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</row>
    <row r="5" spans="2:18" ht="15">
      <c r="B5" s="5" t="s">
        <v>99</v>
      </c>
      <c r="C5" s="28">
        <v>900</v>
      </c>
      <c r="D5" s="16">
        <v>900</v>
      </c>
      <c r="E5" s="16">
        <v>900</v>
      </c>
      <c r="F5" s="3">
        <v>0</v>
      </c>
      <c r="G5" s="3">
        <v>0</v>
      </c>
      <c r="H5" s="9">
        <f>E5+F5-D5</f>
        <v>0</v>
      </c>
      <c r="I5" s="9">
        <v>0</v>
      </c>
      <c r="J5" s="28">
        <v>900</v>
      </c>
      <c r="K5" s="16">
        <v>900</v>
      </c>
      <c r="L5" s="16">
        <v>900</v>
      </c>
      <c r="M5" s="16">
        <v>900</v>
      </c>
      <c r="N5" s="1"/>
      <c r="O5" s="1"/>
      <c r="P5" s="1"/>
      <c r="Q5" s="1"/>
      <c r="R5" s="1"/>
    </row>
    <row r="6" spans="2:18" ht="15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2"/>
    </row>
    <row r="7" spans="2:18" ht="15">
      <c r="B7" s="6" t="s">
        <v>189</v>
      </c>
      <c r="C7" s="12">
        <v>0</v>
      </c>
      <c r="D7" s="9"/>
      <c r="E7" s="9"/>
      <c r="F7" s="9"/>
      <c r="G7" s="9"/>
      <c r="H7" s="9"/>
      <c r="I7" s="9"/>
      <c r="J7" s="12">
        <v>0</v>
      </c>
      <c r="K7" s="12">
        <v>75000</v>
      </c>
      <c r="L7" s="12">
        <v>75000</v>
      </c>
      <c r="M7" s="12">
        <v>75000</v>
      </c>
      <c r="N7" s="2"/>
      <c r="O7" s="2"/>
      <c r="P7" s="2"/>
      <c r="Q7" s="2"/>
      <c r="R7" s="2"/>
    </row>
    <row r="8" spans="2:18" ht="15">
      <c r="B8" s="7" t="s">
        <v>29</v>
      </c>
      <c r="C8" s="12">
        <v>300</v>
      </c>
      <c r="D8" s="12">
        <f aca="true" t="shared" si="0" ref="D8:D13">E8+F8</f>
        <v>160.69986541049798</v>
      </c>
      <c r="E8" s="12">
        <v>106.59488559892328</v>
      </c>
      <c r="F8" s="12">
        <v>54.104979811574694</v>
      </c>
      <c r="G8" s="12">
        <f aca="true" t="shared" si="1" ref="G8:G13">J8-F8-E8</f>
        <v>139.30013458950202</v>
      </c>
      <c r="H8" s="12">
        <f aca="true" t="shared" si="2" ref="H8:H13">E8+F8-D8</f>
        <v>0</v>
      </c>
      <c r="I8" s="12">
        <v>21.31897711978466</v>
      </c>
      <c r="J8" s="12">
        <v>300</v>
      </c>
      <c r="K8" s="12">
        <f aca="true" t="shared" si="3" ref="K8:K13">J8*1.035</f>
        <v>310.5</v>
      </c>
      <c r="L8" s="12">
        <f>K8*1.03</f>
        <v>319.815</v>
      </c>
      <c r="M8" s="12">
        <f>L8*1.03</f>
        <v>329.40945</v>
      </c>
      <c r="N8" s="2"/>
      <c r="O8" s="2"/>
      <c r="P8" s="2"/>
      <c r="Q8" s="2"/>
      <c r="R8" s="2"/>
    </row>
    <row r="9" spans="2:18" ht="15">
      <c r="B9" s="7" t="s">
        <v>30</v>
      </c>
      <c r="C9" s="12">
        <v>2100</v>
      </c>
      <c r="D9" s="12">
        <f t="shared" si="0"/>
        <v>1124.8990578734858</v>
      </c>
      <c r="E9" s="12">
        <v>746.164199192463</v>
      </c>
      <c r="F9" s="12">
        <v>378.73485868102284</v>
      </c>
      <c r="G9" s="12">
        <f t="shared" si="1"/>
        <v>975.1009421265142</v>
      </c>
      <c r="H9" s="12">
        <f t="shared" si="2"/>
        <v>0</v>
      </c>
      <c r="I9" s="12">
        <v>149.2328398384926</v>
      </c>
      <c r="J9" s="12">
        <v>2100</v>
      </c>
      <c r="K9" s="12">
        <f t="shared" si="3"/>
        <v>2173.5</v>
      </c>
      <c r="L9" s="12">
        <f aca="true" t="shared" si="4" ref="L9:M13">K9*1.03</f>
        <v>2238.705</v>
      </c>
      <c r="M9" s="12">
        <f t="shared" si="4"/>
        <v>2305.86615</v>
      </c>
      <c r="N9" s="2"/>
      <c r="O9" s="2"/>
      <c r="P9" s="2"/>
      <c r="Q9" s="2"/>
      <c r="R9" s="2"/>
    </row>
    <row r="10" spans="2:18" ht="15">
      <c r="B10" s="7" t="s">
        <v>31</v>
      </c>
      <c r="C10" s="12">
        <v>0</v>
      </c>
      <c r="D10" s="12">
        <f t="shared" si="0"/>
        <v>0</v>
      </c>
      <c r="E10">
        <v>0</v>
      </c>
      <c r="F10">
        <v>0</v>
      </c>
      <c r="G10" s="12">
        <f t="shared" si="1"/>
        <v>0</v>
      </c>
      <c r="H10" s="12">
        <f t="shared" si="2"/>
        <v>0</v>
      </c>
      <c r="I10" s="12">
        <v>0</v>
      </c>
      <c r="J10" s="12">
        <v>0</v>
      </c>
      <c r="K10" s="12">
        <f t="shared" si="3"/>
        <v>0</v>
      </c>
      <c r="L10" s="12">
        <f t="shared" si="4"/>
        <v>0</v>
      </c>
      <c r="M10" s="12">
        <f t="shared" si="4"/>
        <v>0</v>
      </c>
      <c r="N10" s="2"/>
      <c r="O10" s="2"/>
      <c r="P10" s="2"/>
      <c r="Q10" s="2"/>
      <c r="R10" s="2"/>
    </row>
    <row r="11" spans="2:18" ht="15">
      <c r="B11" s="7" t="s">
        <v>32</v>
      </c>
      <c r="C11" s="12">
        <v>1000</v>
      </c>
      <c r="D11" s="12">
        <f t="shared" si="0"/>
        <v>535.6662180349933</v>
      </c>
      <c r="E11" s="12">
        <v>355.3162853297443</v>
      </c>
      <c r="F11" s="12">
        <v>180.349932705249</v>
      </c>
      <c r="G11" s="12">
        <f t="shared" si="1"/>
        <v>464.3337819650067</v>
      </c>
      <c r="H11" s="12">
        <f t="shared" si="2"/>
        <v>0</v>
      </c>
      <c r="I11" s="12">
        <v>71.06325706594886</v>
      </c>
      <c r="J11" s="12">
        <v>1000</v>
      </c>
      <c r="K11" s="12">
        <f t="shared" si="3"/>
        <v>1035</v>
      </c>
      <c r="L11" s="12">
        <f t="shared" si="4"/>
        <v>1066.05</v>
      </c>
      <c r="M11" s="12">
        <f t="shared" si="4"/>
        <v>1098.0315</v>
      </c>
      <c r="N11" s="2"/>
      <c r="O11" s="2"/>
      <c r="P11" s="2"/>
      <c r="Q11" s="2"/>
      <c r="R11" s="2"/>
    </row>
    <row r="12" spans="2:18" ht="15">
      <c r="B12" s="7" t="s">
        <v>33</v>
      </c>
      <c r="C12" s="12">
        <v>2700</v>
      </c>
      <c r="D12" s="12">
        <f t="shared" si="0"/>
        <v>1446.2987886944818</v>
      </c>
      <c r="E12" s="12">
        <v>959.3539703903095</v>
      </c>
      <c r="F12" s="12">
        <v>486.94481830417226</v>
      </c>
      <c r="G12" s="12">
        <f t="shared" si="1"/>
        <v>1253.7012113055182</v>
      </c>
      <c r="H12" s="12">
        <f t="shared" si="2"/>
        <v>0</v>
      </c>
      <c r="I12" s="12">
        <v>191.87079407806192</v>
      </c>
      <c r="J12" s="12">
        <v>2700</v>
      </c>
      <c r="K12" s="12">
        <f t="shared" si="3"/>
        <v>2794.5</v>
      </c>
      <c r="L12" s="12">
        <f t="shared" si="4"/>
        <v>2878.335</v>
      </c>
      <c r="M12" s="12">
        <f t="shared" si="4"/>
        <v>2964.68505</v>
      </c>
      <c r="N12" s="2"/>
      <c r="O12" s="2"/>
      <c r="P12" s="2"/>
      <c r="Q12" s="2"/>
      <c r="R12" s="2"/>
    </row>
    <row r="13" spans="2:18" ht="15">
      <c r="B13" s="7" t="s">
        <v>34</v>
      </c>
      <c r="C13" s="12">
        <v>200</v>
      </c>
      <c r="D13" s="12">
        <f t="shared" si="0"/>
        <v>107.13324360699865</v>
      </c>
      <c r="E13" s="12">
        <v>71.06325706594885</v>
      </c>
      <c r="F13" s="12">
        <v>36.0699865410498</v>
      </c>
      <c r="G13" s="12">
        <f t="shared" si="1"/>
        <v>92.86675639300137</v>
      </c>
      <c r="H13" s="12">
        <f t="shared" si="2"/>
        <v>0</v>
      </c>
      <c r="I13" s="12">
        <v>14.21265141318977</v>
      </c>
      <c r="J13" s="12">
        <v>200</v>
      </c>
      <c r="K13" s="12">
        <f t="shared" si="3"/>
        <v>206.99999999999997</v>
      </c>
      <c r="L13" s="12">
        <f t="shared" si="4"/>
        <v>213.20999999999998</v>
      </c>
      <c r="M13" s="12">
        <f t="shared" si="4"/>
        <v>219.60629999999998</v>
      </c>
      <c r="N13" s="2"/>
      <c r="O13" s="2"/>
      <c r="P13" s="2"/>
      <c r="Q13" s="2"/>
      <c r="R13" s="2"/>
    </row>
    <row r="14" spans="2:18" ht="15">
      <c r="B14" s="5" t="s">
        <v>115</v>
      </c>
      <c r="C14" s="9">
        <f>SUM(C7:C13)</f>
        <v>6300</v>
      </c>
      <c r="D14" s="9">
        <f aca="true" t="shared" si="5" ref="D14:I14">SUM(D8:D13)</f>
        <v>3374.6971736204578</v>
      </c>
      <c r="E14" s="9">
        <f t="shared" si="5"/>
        <v>2238.4925975773895</v>
      </c>
      <c r="F14" s="9">
        <f t="shared" si="5"/>
        <v>1136.2045760430685</v>
      </c>
      <c r="G14" s="9">
        <f t="shared" si="5"/>
        <v>2925.3028263795422</v>
      </c>
      <c r="H14" s="9">
        <f t="shared" si="5"/>
        <v>0</v>
      </c>
      <c r="I14" s="9">
        <f t="shared" si="5"/>
        <v>447.69851951547776</v>
      </c>
      <c r="J14" s="9">
        <f>SUM(J7:J13)</f>
        <v>6300</v>
      </c>
      <c r="K14" s="9">
        <f>SUM(K7:K13)</f>
        <v>81520.5</v>
      </c>
      <c r="L14" s="9">
        <f>SUM(L7:L13)</f>
        <v>81716.11500000002</v>
      </c>
      <c r="M14" s="9">
        <f>SUM(M7:M13)</f>
        <v>81917.59845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62</v>
      </c>
      <c r="C16" s="9">
        <f>C14+C5</f>
        <v>7200</v>
      </c>
      <c r="D16" s="9">
        <f aca="true" t="shared" si="6" ref="D16:M16">D14+D5</f>
        <v>4274.697173620458</v>
      </c>
      <c r="E16" s="9">
        <f t="shared" si="6"/>
        <v>3138.4925975773895</v>
      </c>
      <c r="F16" s="9">
        <f t="shared" si="6"/>
        <v>1136.2045760430685</v>
      </c>
      <c r="G16" s="9">
        <f t="shared" si="6"/>
        <v>2925.3028263795422</v>
      </c>
      <c r="H16" s="9">
        <f t="shared" si="6"/>
        <v>0</v>
      </c>
      <c r="I16" s="9">
        <f t="shared" si="6"/>
        <v>447.69851951547776</v>
      </c>
      <c r="J16" s="9">
        <f>J14+J5</f>
        <v>7200</v>
      </c>
      <c r="K16" s="9">
        <f t="shared" si="6"/>
        <v>82420.5</v>
      </c>
      <c r="L16" s="9">
        <f t="shared" si="6"/>
        <v>82616.11500000002</v>
      </c>
      <c r="M16" s="9">
        <f t="shared" si="6"/>
        <v>82817.59845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6" t="s">
        <v>113</v>
      </c>
      <c r="C18" s="12">
        <v>0</v>
      </c>
      <c r="D18" s="12">
        <v>0</v>
      </c>
      <c r="E18" s="12">
        <v>0</v>
      </c>
      <c r="F18" s="9"/>
      <c r="G18" s="9"/>
      <c r="H18" s="12">
        <f>E18+F18-D18</f>
        <v>0</v>
      </c>
      <c r="I18" s="12"/>
      <c r="J18" s="12">
        <f>-583*0.9</f>
        <v>-524.7</v>
      </c>
      <c r="K18" s="12">
        <f>-583*0.9</f>
        <v>-524.7</v>
      </c>
      <c r="L18" s="12">
        <f>-583*0.9</f>
        <v>-524.7</v>
      </c>
      <c r="M18" s="12">
        <f>-583*0.9</f>
        <v>-524.7</v>
      </c>
      <c r="N18" s="2"/>
      <c r="O18" s="2"/>
      <c r="P18" s="2"/>
      <c r="Q18" s="2"/>
      <c r="R18" s="2"/>
    </row>
    <row r="19" spans="2:18" ht="15">
      <c r="B19" s="5" t="s">
        <v>0</v>
      </c>
      <c r="C19" s="9">
        <f>SUM(C17:C18)</f>
        <v>0</v>
      </c>
      <c r="D19" s="9">
        <f aca="true" t="shared" si="7" ref="D19:M19">SUM(D17:D18)</f>
        <v>0</v>
      </c>
      <c r="E19" s="9">
        <f t="shared" si="7"/>
        <v>0</v>
      </c>
      <c r="F19" s="9">
        <f t="shared" si="7"/>
        <v>0</v>
      </c>
      <c r="G19" s="9">
        <f>SUM(G17:G18)</f>
        <v>0</v>
      </c>
      <c r="H19" s="9">
        <f>SUM(H17:H18)</f>
        <v>0</v>
      </c>
      <c r="I19" s="9">
        <f>SUM(I17:I18)</f>
        <v>0</v>
      </c>
      <c r="J19" s="9">
        <f>SUM(J17:J18)</f>
        <v>-524.7</v>
      </c>
      <c r="K19" s="9">
        <f t="shared" si="7"/>
        <v>-524.7</v>
      </c>
      <c r="L19" s="9">
        <f t="shared" si="7"/>
        <v>-524.7</v>
      </c>
      <c r="M19" s="9">
        <f t="shared" si="7"/>
        <v>-524.7</v>
      </c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5" t="s">
        <v>65</v>
      </c>
      <c r="C21" s="9">
        <f aca="true" t="shared" si="8" ref="C21:M21">C16+C19</f>
        <v>7200</v>
      </c>
      <c r="D21" s="9">
        <f t="shared" si="8"/>
        <v>4274.697173620458</v>
      </c>
      <c r="E21" s="9">
        <f t="shared" si="8"/>
        <v>3138.4925975773895</v>
      </c>
      <c r="F21" s="9">
        <f t="shared" si="8"/>
        <v>1136.2045760430685</v>
      </c>
      <c r="G21" s="9">
        <f>G16+G19</f>
        <v>2925.3028263795422</v>
      </c>
      <c r="H21" s="9">
        <f>H16+H19</f>
        <v>0</v>
      </c>
      <c r="I21" s="9">
        <f>I16+I19</f>
        <v>447.69851951547776</v>
      </c>
      <c r="J21" s="9">
        <f>J16+J19</f>
        <v>6675.3</v>
      </c>
      <c r="K21" s="9">
        <f t="shared" si="8"/>
        <v>81895.8</v>
      </c>
      <c r="L21" s="9">
        <f t="shared" si="8"/>
        <v>82091.41500000002</v>
      </c>
      <c r="M21" s="9">
        <f t="shared" si="8"/>
        <v>82292.89845000001</v>
      </c>
      <c r="N21" s="2"/>
      <c r="O21" s="2"/>
      <c r="P21" s="2"/>
      <c r="Q21" s="2"/>
      <c r="R21" s="2"/>
    </row>
    <row r="23" ht="15">
      <c r="B23" s="23"/>
    </row>
    <row r="24" ht="15">
      <c r="B24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zoomScalePageLayoutView="0" workbookViewId="0" topLeftCell="A4">
      <selection activeCell="S19" sqref="S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82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600</v>
      </c>
      <c r="D5" s="12">
        <v>372</v>
      </c>
      <c r="E5" s="12">
        <v>238</v>
      </c>
      <c r="F5" s="12">
        <v>134</v>
      </c>
      <c r="G5" s="12"/>
      <c r="H5" s="12">
        <f>E5+F5-D5</f>
        <v>0</v>
      </c>
      <c r="I5" s="12"/>
      <c r="J5" s="12">
        <v>820</v>
      </c>
      <c r="K5" s="12">
        <f aca="true" t="shared" si="0" ref="K5:M6">J5*1.03</f>
        <v>844.6</v>
      </c>
      <c r="L5" s="12">
        <f t="shared" si="0"/>
        <v>869.9380000000001</v>
      </c>
      <c r="M5" s="12">
        <f t="shared" si="0"/>
        <v>896.0361400000002</v>
      </c>
      <c r="N5" s="2"/>
      <c r="O5" s="2"/>
      <c r="P5" s="2"/>
      <c r="Q5" s="2"/>
      <c r="R5" s="2"/>
    </row>
    <row r="6" spans="2:18" ht="15">
      <c r="B6" s="6" t="s">
        <v>72</v>
      </c>
      <c r="C6" s="12">
        <v>6800</v>
      </c>
      <c r="D6" s="12">
        <v>2207</v>
      </c>
      <c r="E6" s="12">
        <v>1212</v>
      </c>
      <c r="F6" s="12">
        <v>995</v>
      </c>
      <c r="G6" s="9"/>
      <c r="H6" s="12">
        <f>E6+F6-D6</f>
        <v>0</v>
      </c>
      <c r="I6" s="12"/>
      <c r="J6" s="12">
        <v>6800</v>
      </c>
      <c r="K6" s="12">
        <f t="shared" si="0"/>
        <v>7004</v>
      </c>
      <c r="L6" s="12">
        <f t="shared" si="0"/>
        <v>7214.12</v>
      </c>
      <c r="M6" s="12">
        <f t="shared" si="0"/>
        <v>7430.5436</v>
      </c>
      <c r="N6" s="2"/>
      <c r="O6" s="2"/>
      <c r="P6" s="2"/>
      <c r="Q6" s="2"/>
      <c r="R6" s="2"/>
    </row>
    <row r="7" spans="2:18" ht="15">
      <c r="B7" s="6" t="s">
        <v>61</v>
      </c>
      <c r="C7" s="12">
        <v>2000</v>
      </c>
      <c r="D7" s="12">
        <v>2000</v>
      </c>
      <c r="E7" s="9"/>
      <c r="F7" s="9"/>
      <c r="G7" s="9"/>
      <c r="H7" s="12">
        <f>E7+F7-D7</f>
        <v>-2000</v>
      </c>
      <c r="I7" s="12"/>
      <c r="J7" s="12">
        <v>0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6" t="s">
        <v>138</v>
      </c>
      <c r="C8" s="12">
        <v>37700</v>
      </c>
      <c r="D8" s="12">
        <v>0</v>
      </c>
      <c r="E8" s="9"/>
      <c r="F8" s="9"/>
      <c r="G8" s="9"/>
      <c r="H8" s="12"/>
      <c r="I8" s="12"/>
      <c r="J8" s="12">
        <v>37700</v>
      </c>
      <c r="K8" s="12">
        <v>37700</v>
      </c>
      <c r="L8" s="12">
        <v>37700</v>
      </c>
      <c r="M8" s="12">
        <v>37700</v>
      </c>
      <c r="N8" s="2"/>
      <c r="O8" s="2"/>
      <c r="P8" s="2"/>
      <c r="Q8" s="2"/>
      <c r="R8" s="2"/>
    </row>
    <row r="9" spans="2:18" ht="15">
      <c r="B9" s="6" t="s">
        <v>50</v>
      </c>
      <c r="C9" s="12">
        <v>1000</v>
      </c>
      <c r="D9" s="12">
        <v>1000</v>
      </c>
      <c r="E9" s="12">
        <v>1025</v>
      </c>
      <c r="F9" s="12"/>
      <c r="G9" s="12"/>
      <c r="H9" s="12">
        <f>E9+F9-D9</f>
        <v>25</v>
      </c>
      <c r="I9" s="12"/>
      <c r="J9" s="12">
        <v>1025</v>
      </c>
      <c r="K9" s="12">
        <v>1080</v>
      </c>
      <c r="L9" s="12">
        <v>1110</v>
      </c>
      <c r="M9" s="12">
        <v>1150</v>
      </c>
      <c r="N9" s="2"/>
      <c r="O9" s="2"/>
      <c r="P9" s="2"/>
      <c r="Q9" s="2"/>
      <c r="R9" s="2"/>
    </row>
    <row r="10" spans="2:18" ht="15">
      <c r="B10" s="5" t="s">
        <v>71</v>
      </c>
      <c r="C10" s="9">
        <f aca="true" t="shared" si="1" ref="C10:M10">SUM(C5:C9)</f>
        <v>48100</v>
      </c>
      <c r="D10" s="9">
        <f t="shared" si="1"/>
        <v>5579</v>
      </c>
      <c r="E10" s="9">
        <f t="shared" si="1"/>
        <v>2475</v>
      </c>
      <c r="F10" s="9">
        <f t="shared" si="1"/>
        <v>1129</v>
      </c>
      <c r="G10" s="9">
        <f t="shared" si="1"/>
        <v>0</v>
      </c>
      <c r="H10" s="9">
        <f t="shared" si="1"/>
        <v>-1975</v>
      </c>
      <c r="I10" s="9">
        <f t="shared" si="1"/>
        <v>0</v>
      </c>
      <c r="J10" s="9">
        <f t="shared" si="1"/>
        <v>46345</v>
      </c>
      <c r="K10" s="9">
        <f t="shared" si="1"/>
        <v>46628.6</v>
      </c>
      <c r="L10" s="9">
        <f t="shared" si="1"/>
        <v>46894.058</v>
      </c>
      <c r="M10" s="9">
        <f t="shared" si="1"/>
        <v>47176.57974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6" t="s">
        <v>83</v>
      </c>
      <c r="C12" s="15">
        <v>82400</v>
      </c>
      <c r="D12" s="12">
        <f>E12+F12</f>
        <v>44138.89636608345</v>
      </c>
      <c r="E12" s="12">
        <v>29278.06191117093</v>
      </c>
      <c r="F12" s="12">
        <v>14860.834454912518</v>
      </c>
      <c r="G12" s="12">
        <f>J12-F12-E12</f>
        <v>38261.10363391655</v>
      </c>
      <c r="H12" s="12">
        <f>E12+F12-D12</f>
        <v>0</v>
      </c>
      <c r="I12" s="12">
        <v>5855.612382234186</v>
      </c>
      <c r="J12" s="15">
        <v>82400</v>
      </c>
      <c r="K12" s="12">
        <f>J12*1.035</f>
        <v>85284</v>
      </c>
      <c r="L12" s="12">
        <f aca="true" t="shared" si="2" ref="L12:M14">K12*1.03</f>
        <v>87842.52</v>
      </c>
      <c r="M12" s="12">
        <f t="shared" si="2"/>
        <v>90477.79560000001</v>
      </c>
      <c r="N12" s="2"/>
      <c r="O12" s="2"/>
      <c r="P12" s="2"/>
      <c r="Q12" s="2"/>
      <c r="R12" s="2"/>
    </row>
    <row r="13" spans="2:18" ht="15">
      <c r="B13" s="6" t="s">
        <v>84</v>
      </c>
      <c r="C13" s="12">
        <v>0</v>
      </c>
      <c r="D13" s="12">
        <v>0</v>
      </c>
      <c r="E13" s="12">
        <v>13395.423956931358</v>
      </c>
      <c r="F13" s="12">
        <v>6799.192462987887</v>
      </c>
      <c r="G13" s="12">
        <f>J13-F13-E13</f>
        <v>-20194.616419919243</v>
      </c>
      <c r="H13" s="12">
        <f>E13+F13-D13</f>
        <v>20194.616419919243</v>
      </c>
      <c r="I13" s="12">
        <v>2679.0847913862717</v>
      </c>
      <c r="J13" s="12">
        <v>0</v>
      </c>
      <c r="K13" s="12">
        <f>J13*1.035</f>
        <v>0</v>
      </c>
      <c r="L13" s="12">
        <f t="shared" si="2"/>
        <v>0</v>
      </c>
      <c r="M13" s="12">
        <f t="shared" si="2"/>
        <v>0</v>
      </c>
      <c r="N13" s="2"/>
      <c r="O13" s="2"/>
      <c r="P13" s="2"/>
      <c r="Q13" s="2"/>
      <c r="R13" s="2"/>
    </row>
    <row r="14" spans="2:18" ht="15">
      <c r="B14" s="6" t="s">
        <v>85</v>
      </c>
      <c r="C14" s="14">
        <v>1000</v>
      </c>
      <c r="D14" s="12">
        <f>E14+F14</f>
        <v>535.6662180349933</v>
      </c>
      <c r="E14" s="12">
        <v>355.3162853297443</v>
      </c>
      <c r="F14" s="12">
        <v>180.349932705249</v>
      </c>
      <c r="G14" s="12">
        <f>J14-F14-E14</f>
        <v>464.3337819650067</v>
      </c>
      <c r="H14" s="12">
        <f>E14+F14-D14</f>
        <v>0</v>
      </c>
      <c r="I14" s="12">
        <v>71.06325706594886</v>
      </c>
      <c r="J14" s="14">
        <v>1000</v>
      </c>
      <c r="K14" s="12">
        <f>J14*1.035</f>
        <v>1035</v>
      </c>
      <c r="L14" s="12">
        <f t="shared" si="2"/>
        <v>1066.05</v>
      </c>
      <c r="M14" s="12">
        <f t="shared" si="2"/>
        <v>1098.0315</v>
      </c>
      <c r="N14" s="2"/>
      <c r="O14" s="2"/>
      <c r="P14" s="2"/>
      <c r="Q14" s="2"/>
      <c r="R14" s="2"/>
    </row>
    <row r="15" spans="2:18" ht="15">
      <c r="B15" s="5" t="s">
        <v>115</v>
      </c>
      <c r="C15" s="9">
        <f>SUM(C12:C14)</f>
        <v>83400</v>
      </c>
      <c r="D15" s="9">
        <f aca="true" t="shared" si="3" ref="D15:M15">SUM(D12:D14)</f>
        <v>44674.562584118445</v>
      </c>
      <c r="E15" s="9">
        <f t="shared" si="3"/>
        <v>43028.802153432036</v>
      </c>
      <c r="F15" s="9">
        <f t="shared" si="3"/>
        <v>21840.37685060565</v>
      </c>
      <c r="G15" s="9">
        <f t="shared" si="3"/>
        <v>18530.820995962316</v>
      </c>
      <c r="H15" s="9">
        <f t="shared" si="3"/>
        <v>20194.616419919243</v>
      </c>
      <c r="I15" s="9">
        <f t="shared" si="3"/>
        <v>8605.760430686407</v>
      </c>
      <c r="J15" s="9">
        <f>SUM(J12:J14)</f>
        <v>83400</v>
      </c>
      <c r="K15" s="9">
        <f t="shared" si="3"/>
        <v>86319</v>
      </c>
      <c r="L15" s="9">
        <f t="shared" si="3"/>
        <v>88908.57</v>
      </c>
      <c r="M15" s="9">
        <f t="shared" si="3"/>
        <v>91575.82710000001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62</v>
      </c>
      <c r="C17" s="9">
        <f>C10+C15</f>
        <v>131500</v>
      </c>
      <c r="D17" s="9">
        <f aca="true" t="shared" si="4" ref="D17:M17">D10+D15</f>
        <v>50253.562584118445</v>
      </c>
      <c r="E17" s="9">
        <f t="shared" si="4"/>
        <v>45503.802153432036</v>
      </c>
      <c r="F17" s="9">
        <f t="shared" si="4"/>
        <v>22969.37685060565</v>
      </c>
      <c r="G17" s="9">
        <f t="shared" si="4"/>
        <v>18530.820995962316</v>
      </c>
      <c r="H17" s="9">
        <f t="shared" si="4"/>
        <v>18219.616419919243</v>
      </c>
      <c r="I17" s="9">
        <f t="shared" si="4"/>
        <v>8605.760430686407</v>
      </c>
      <c r="J17" s="9">
        <f>J10+J15</f>
        <v>129745</v>
      </c>
      <c r="K17" s="9">
        <f t="shared" si="4"/>
        <v>132947.6</v>
      </c>
      <c r="L17" s="9">
        <f t="shared" si="4"/>
        <v>135802.628</v>
      </c>
      <c r="M17" s="9">
        <f t="shared" si="4"/>
        <v>138752.40684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6" t="s">
        <v>86</v>
      </c>
      <c r="C19" s="12">
        <v>-6800</v>
      </c>
      <c r="D19" s="12">
        <v>-3400</v>
      </c>
      <c r="E19" s="12">
        <v>-2451</v>
      </c>
      <c r="F19" s="12">
        <f>-623-676</f>
        <v>-1299</v>
      </c>
      <c r="G19" s="12"/>
      <c r="H19" s="12">
        <f>E19+F19-D19</f>
        <v>-350</v>
      </c>
      <c r="I19" s="12"/>
      <c r="J19" s="12">
        <v>-6800</v>
      </c>
      <c r="K19" s="12">
        <v>0</v>
      </c>
      <c r="L19" s="12">
        <v>0</v>
      </c>
      <c r="M19" s="12">
        <v>0</v>
      </c>
      <c r="N19" s="2"/>
      <c r="O19" s="2"/>
      <c r="P19" s="2"/>
      <c r="Q19" s="2"/>
      <c r="R19" s="2"/>
    </row>
    <row r="20" spans="2:18" ht="15">
      <c r="B20" s="6" t="s">
        <v>80</v>
      </c>
      <c r="C20" s="12">
        <v>-24000</v>
      </c>
      <c r="D20" s="12">
        <v>-12250</v>
      </c>
      <c r="E20" s="12">
        <v>-12250</v>
      </c>
      <c r="F20" s="9"/>
      <c r="G20" s="9"/>
      <c r="H20" s="12">
        <f>E20+F20-D20</f>
        <v>0</v>
      </c>
      <c r="I20" s="12"/>
      <c r="J20" s="12">
        <v>-24000</v>
      </c>
      <c r="K20" s="12">
        <v>-24000</v>
      </c>
      <c r="L20" s="12">
        <v>-24000</v>
      </c>
      <c r="M20" s="12">
        <v>-24000</v>
      </c>
      <c r="N20" s="2"/>
      <c r="O20" s="2"/>
      <c r="P20" s="2"/>
      <c r="Q20" s="2"/>
      <c r="R20" s="2"/>
    </row>
    <row r="21" spans="2:18" ht="15">
      <c r="B21" s="5" t="s">
        <v>0</v>
      </c>
      <c r="C21" s="9">
        <f>SUM(C19:C20)</f>
        <v>-30800</v>
      </c>
      <c r="D21" s="9">
        <f aca="true" t="shared" si="5" ref="D21:M21">SUM(D19:D20)</f>
        <v>-15650</v>
      </c>
      <c r="E21" s="9">
        <f t="shared" si="5"/>
        <v>-14701</v>
      </c>
      <c r="F21" s="9">
        <f t="shared" si="5"/>
        <v>-1299</v>
      </c>
      <c r="G21" s="9">
        <f>SUM(G19:G20)</f>
        <v>0</v>
      </c>
      <c r="H21" s="9">
        <f>SUM(H19:H20)</f>
        <v>-350</v>
      </c>
      <c r="I21" s="9">
        <f>SUM(I19:I20)</f>
        <v>0</v>
      </c>
      <c r="J21" s="9">
        <f>SUM(J19:J20)</f>
        <v>-30800</v>
      </c>
      <c r="K21" s="9">
        <f t="shared" si="5"/>
        <v>-24000</v>
      </c>
      <c r="L21" s="9">
        <f t="shared" si="5"/>
        <v>-24000</v>
      </c>
      <c r="M21" s="9">
        <f t="shared" si="5"/>
        <v>-24000</v>
      </c>
      <c r="N21" s="2"/>
      <c r="O21" s="2"/>
      <c r="P21" s="2"/>
      <c r="Q21" s="2"/>
      <c r="R21" s="2"/>
    </row>
    <row r="22" spans="2:18" ht="15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</row>
    <row r="23" spans="2:18" ht="15">
      <c r="B23" s="5" t="s">
        <v>65</v>
      </c>
      <c r="C23" s="9">
        <f aca="true" t="shared" si="6" ref="C23:M23">C17+C21</f>
        <v>100700</v>
      </c>
      <c r="D23" s="9">
        <f t="shared" si="6"/>
        <v>34603.562584118445</v>
      </c>
      <c r="E23" s="9">
        <f t="shared" si="6"/>
        <v>30802.802153432036</v>
      </c>
      <c r="F23" s="9">
        <f t="shared" si="6"/>
        <v>21670.37685060565</v>
      </c>
      <c r="G23" s="9">
        <f>G17+G21</f>
        <v>18530.820995962316</v>
      </c>
      <c r="H23" s="9">
        <f>H17+H21</f>
        <v>17869.616419919243</v>
      </c>
      <c r="I23" s="9">
        <f>I17+I21</f>
        <v>8605.760430686407</v>
      </c>
      <c r="J23" s="9">
        <f>J17+J21</f>
        <v>98945</v>
      </c>
      <c r="K23" s="9">
        <f t="shared" si="6"/>
        <v>108947.6</v>
      </c>
      <c r="L23" s="9">
        <f t="shared" si="6"/>
        <v>111802.628</v>
      </c>
      <c r="M23" s="9">
        <f t="shared" si="6"/>
        <v>114752.40684000001</v>
      </c>
      <c r="N23" s="2"/>
      <c r="O23" s="2"/>
      <c r="P23" s="2"/>
      <c r="Q23" s="2"/>
      <c r="R23" s="2"/>
    </row>
    <row r="25" ht="15">
      <c r="B25" s="20"/>
    </row>
    <row r="26" ht="15">
      <c r="B26" s="25"/>
    </row>
    <row r="29" ht="15">
      <c r="B29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9"/>
  <sheetViews>
    <sheetView zoomScalePageLayoutView="0" workbookViewId="0" topLeftCell="A1">
      <selection activeCell="S13" sqref="S1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63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13"/>
      <c r="D4" s="13"/>
      <c r="E4" s="13"/>
      <c r="F4" s="3"/>
      <c r="G4" s="3"/>
      <c r="H4" s="3"/>
      <c r="I4" s="3"/>
      <c r="J4" s="3"/>
      <c r="K4" s="13"/>
      <c r="L4" s="13"/>
      <c r="M4" s="13"/>
      <c r="N4" s="1"/>
      <c r="O4" s="1"/>
      <c r="P4" s="1"/>
      <c r="Q4" s="1"/>
      <c r="R4" s="1"/>
    </row>
    <row r="5" spans="2:18" ht="15">
      <c r="B5" s="6" t="s">
        <v>72</v>
      </c>
      <c r="C5" s="12">
        <v>100</v>
      </c>
      <c r="D5" s="9"/>
      <c r="E5" s="9"/>
      <c r="F5" s="9"/>
      <c r="G5" s="9"/>
      <c r="H5" s="12">
        <f>E5+F5-D5</f>
        <v>0</v>
      </c>
      <c r="I5" s="12"/>
      <c r="J5" s="12">
        <v>100</v>
      </c>
      <c r="K5" s="12">
        <f>J5*1.03</f>
        <v>103</v>
      </c>
      <c r="L5" s="12">
        <f>K5*1.03</f>
        <v>106.09</v>
      </c>
      <c r="M5" s="12">
        <f>L5*1.03</f>
        <v>109.2727</v>
      </c>
      <c r="N5" s="2"/>
      <c r="O5" s="2"/>
      <c r="P5" s="2"/>
      <c r="Q5" s="2"/>
      <c r="R5" s="2"/>
    </row>
    <row r="6" spans="2:18" ht="15">
      <c r="B6" s="5" t="s">
        <v>71</v>
      </c>
      <c r="C6" s="9">
        <f aca="true" t="shared" si="0" ref="C6:M6">SUM(C5:C5)</f>
        <v>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100</v>
      </c>
      <c r="K6" s="9">
        <f t="shared" si="0"/>
        <v>103</v>
      </c>
      <c r="L6" s="9">
        <f t="shared" si="0"/>
        <v>106.09</v>
      </c>
      <c r="M6" s="9">
        <f t="shared" si="0"/>
        <v>109.2727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83</v>
      </c>
      <c r="C8" s="15">
        <v>16000</v>
      </c>
      <c r="D8" s="12">
        <f>E8+F8</f>
        <v>8570.598923283984</v>
      </c>
      <c r="E8" s="12">
        <v>5685</v>
      </c>
      <c r="F8" s="12">
        <v>2885.598923283984</v>
      </c>
      <c r="G8" s="12">
        <f>J8-F8-E8</f>
        <v>7429.401076716016</v>
      </c>
      <c r="H8" s="12">
        <f>E8+F8-D8</f>
        <v>0</v>
      </c>
      <c r="I8" s="12">
        <v>1137.0121130551818</v>
      </c>
      <c r="J8" s="15">
        <v>16000</v>
      </c>
      <c r="K8" s="12">
        <f>J8*1.035</f>
        <v>16560</v>
      </c>
      <c r="L8" s="12">
        <f>K8*1.03</f>
        <v>17056.8</v>
      </c>
      <c r="M8" s="12">
        <f>L8*1.03</f>
        <v>17568.504</v>
      </c>
      <c r="N8" s="2"/>
      <c r="O8" s="2"/>
      <c r="P8" s="2"/>
      <c r="Q8" s="2"/>
      <c r="R8" s="2"/>
    </row>
    <row r="9" spans="2:18" ht="15">
      <c r="B9" s="5" t="s">
        <v>115</v>
      </c>
      <c r="C9" s="9">
        <f aca="true" t="shared" si="1" ref="C9:M9">SUM(C8:C8)</f>
        <v>16000</v>
      </c>
      <c r="D9" s="9">
        <f t="shared" si="1"/>
        <v>8570.598923283984</v>
      </c>
      <c r="E9" s="9">
        <f t="shared" si="1"/>
        <v>5685</v>
      </c>
      <c r="F9" s="9">
        <f t="shared" si="1"/>
        <v>2885.598923283984</v>
      </c>
      <c r="G9" s="9">
        <f>SUM(G8:G8)</f>
        <v>7429.401076716016</v>
      </c>
      <c r="H9" s="9">
        <f>SUM(H8:H8)</f>
        <v>0</v>
      </c>
      <c r="I9" s="9">
        <f>SUM(I8:I8)</f>
        <v>1137.0121130551818</v>
      </c>
      <c r="J9" s="9">
        <f>SUM(J8:J8)</f>
        <v>16000</v>
      </c>
      <c r="K9" s="9">
        <f t="shared" si="1"/>
        <v>16560</v>
      </c>
      <c r="L9" s="9">
        <f t="shared" si="1"/>
        <v>17056.8</v>
      </c>
      <c r="M9" s="9">
        <f t="shared" si="1"/>
        <v>17568.504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62</v>
      </c>
      <c r="C11" s="9">
        <f aca="true" t="shared" si="2" ref="C11:M11">C6+C9</f>
        <v>16100</v>
      </c>
      <c r="D11" s="9">
        <f t="shared" si="2"/>
        <v>8570.598923283984</v>
      </c>
      <c r="E11" s="9">
        <f t="shared" si="2"/>
        <v>5685</v>
      </c>
      <c r="F11" s="9">
        <f t="shared" si="2"/>
        <v>2885.598923283984</v>
      </c>
      <c r="G11" s="9">
        <f>G6+G9</f>
        <v>7429.401076716016</v>
      </c>
      <c r="H11" s="9">
        <f>H6+H9</f>
        <v>0</v>
      </c>
      <c r="I11" s="9">
        <f>I6+I9</f>
        <v>1137.0121130551818</v>
      </c>
      <c r="J11" s="9">
        <f>J6+J9</f>
        <v>16100</v>
      </c>
      <c r="K11" s="9">
        <f t="shared" si="2"/>
        <v>16663</v>
      </c>
      <c r="L11" s="9">
        <f t="shared" si="2"/>
        <v>17162.89</v>
      </c>
      <c r="M11" s="9">
        <f t="shared" si="2"/>
        <v>17677.776700000002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6" t="s">
        <v>87</v>
      </c>
      <c r="C13" s="12">
        <v>-800</v>
      </c>
      <c r="D13" s="9"/>
      <c r="E13" s="9"/>
      <c r="F13" s="9"/>
      <c r="G13" s="9"/>
      <c r="H13" s="12">
        <f>E13+F13-D13</f>
        <v>0</v>
      </c>
      <c r="I13" s="12"/>
      <c r="J13" s="12">
        <v>-800</v>
      </c>
      <c r="K13" s="12">
        <v>0</v>
      </c>
      <c r="L13" s="12">
        <v>0</v>
      </c>
      <c r="M13" s="12">
        <v>0</v>
      </c>
      <c r="N13" s="2"/>
      <c r="O13" s="2"/>
      <c r="P13" s="2"/>
      <c r="Q13" s="2"/>
      <c r="R13" s="2"/>
    </row>
    <row r="14" spans="2:18" ht="15">
      <c r="B14" s="6" t="s">
        <v>125</v>
      </c>
      <c r="C14" s="12">
        <v>-700</v>
      </c>
      <c r="D14" s="12">
        <v>-350</v>
      </c>
      <c r="E14" s="12">
        <v>-1241</v>
      </c>
      <c r="F14" s="9"/>
      <c r="G14" s="9"/>
      <c r="H14" s="12">
        <f>E14+F14-D14</f>
        <v>-891</v>
      </c>
      <c r="I14" s="12"/>
      <c r="J14" s="12">
        <v>-3470</v>
      </c>
      <c r="K14" s="12">
        <v>-3470</v>
      </c>
      <c r="L14" s="12">
        <v>-3470</v>
      </c>
      <c r="M14" s="12">
        <v>-3470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SUM(C13:C14)</f>
        <v>-1500</v>
      </c>
      <c r="D15" s="9">
        <f aca="true" t="shared" si="3" ref="D15:M15">SUM(D13:D14)</f>
        <v>-350</v>
      </c>
      <c r="E15" s="9">
        <f t="shared" si="3"/>
        <v>-1241</v>
      </c>
      <c r="F15" s="9">
        <f t="shared" si="3"/>
        <v>0</v>
      </c>
      <c r="G15" s="9">
        <f>SUM(G13:G14)</f>
        <v>0</v>
      </c>
      <c r="H15" s="9">
        <f>SUM(H13:H14)</f>
        <v>-891</v>
      </c>
      <c r="I15" s="9">
        <f>SUM(I13:I14)</f>
        <v>0</v>
      </c>
      <c r="J15" s="9">
        <f>SUM(J13:J14)</f>
        <v>-4270</v>
      </c>
      <c r="K15" s="9">
        <f t="shared" si="3"/>
        <v>-3470</v>
      </c>
      <c r="L15" s="9">
        <f t="shared" si="3"/>
        <v>-3470</v>
      </c>
      <c r="M15" s="9">
        <f t="shared" si="3"/>
        <v>-3470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4" ref="C17:M17">C11+C15</f>
        <v>14600</v>
      </c>
      <c r="D17" s="9">
        <f t="shared" si="4"/>
        <v>8220.598923283984</v>
      </c>
      <c r="E17" s="9">
        <f t="shared" si="4"/>
        <v>4444</v>
      </c>
      <c r="F17" s="9">
        <f t="shared" si="4"/>
        <v>2885.598923283984</v>
      </c>
      <c r="G17" s="9">
        <f>G11+G15</f>
        <v>7429.401076716016</v>
      </c>
      <c r="H17" s="9">
        <f>H11+H15</f>
        <v>-891</v>
      </c>
      <c r="I17" s="9">
        <f>I11+I15</f>
        <v>1137.0121130551818</v>
      </c>
      <c r="J17" s="9">
        <f>J11+J15</f>
        <v>11830</v>
      </c>
      <c r="K17" s="9">
        <f t="shared" si="4"/>
        <v>13193</v>
      </c>
      <c r="L17" s="9">
        <f t="shared" si="4"/>
        <v>13692.89</v>
      </c>
      <c r="M17" s="9">
        <f t="shared" si="4"/>
        <v>14207.776700000002</v>
      </c>
      <c r="N17" s="2"/>
      <c r="O17" s="2"/>
      <c r="P17" s="2"/>
      <c r="Q17" s="2"/>
      <c r="R17" s="2"/>
    </row>
    <row r="19" ht="15">
      <c r="B19" s="2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zoomScalePageLayoutView="0" workbookViewId="0" topLeftCell="A1">
      <selection activeCell="S17" sqref="S1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400</v>
      </c>
      <c r="D5" s="12">
        <v>92</v>
      </c>
      <c r="E5" s="12">
        <v>65</v>
      </c>
      <c r="F5" s="12">
        <v>27</v>
      </c>
      <c r="G5" s="12"/>
      <c r="H5" s="12">
        <f>E5+F5-D5</f>
        <v>0</v>
      </c>
      <c r="I5" s="12"/>
      <c r="J5" s="12">
        <v>400</v>
      </c>
      <c r="K5" s="12">
        <f aca="true" t="shared" si="0" ref="K5:M7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72</v>
      </c>
      <c r="C6" s="12">
        <v>5500</v>
      </c>
      <c r="D6" s="8">
        <v>1460</v>
      </c>
      <c r="E6" s="12">
        <v>266</v>
      </c>
      <c r="F6" s="12">
        <v>1194</v>
      </c>
      <c r="G6" s="9"/>
      <c r="H6" s="12">
        <f>E6+F6-D6</f>
        <v>0</v>
      </c>
      <c r="I6" s="12"/>
      <c r="J6" s="12">
        <v>5500</v>
      </c>
      <c r="K6" s="12">
        <f t="shared" si="0"/>
        <v>5665</v>
      </c>
      <c r="L6" s="12">
        <f t="shared" si="0"/>
        <v>5834.95</v>
      </c>
      <c r="M6" s="12">
        <f t="shared" si="0"/>
        <v>6009.9985</v>
      </c>
      <c r="N6" s="2"/>
      <c r="O6" s="2"/>
      <c r="P6" s="2"/>
      <c r="Q6" s="2"/>
      <c r="R6" s="2"/>
    </row>
    <row r="7" spans="2:18" ht="15">
      <c r="B7" s="6" t="s">
        <v>121</v>
      </c>
      <c r="C7" s="12">
        <v>0</v>
      </c>
      <c r="D7" s="12">
        <v>0</v>
      </c>
      <c r="E7" s="12">
        <v>105</v>
      </c>
      <c r="F7" s="12"/>
      <c r="G7" s="12"/>
      <c r="H7" s="12">
        <f>E7+F7-D7</f>
        <v>105</v>
      </c>
      <c r="I7" s="12"/>
      <c r="J7" s="12">
        <v>105</v>
      </c>
      <c r="K7" s="12">
        <f t="shared" si="0"/>
        <v>108.15</v>
      </c>
      <c r="L7" s="12">
        <f t="shared" si="0"/>
        <v>111.39450000000001</v>
      </c>
      <c r="M7" s="12">
        <f t="shared" si="0"/>
        <v>114.73633500000001</v>
      </c>
      <c r="N7" s="2"/>
      <c r="O7" s="2"/>
      <c r="P7" s="2"/>
      <c r="Q7" s="2"/>
      <c r="R7" s="2"/>
    </row>
    <row r="8" spans="2:18" ht="15">
      <c r="B8" s="6" t="s">
        <v>61</v>
      </c>
      <c r="C8" s="12">
        <v>100</v>
      </c>
      <c r="D8" s="12">
        <v>100</v>
      </c>
      <c r="E8" s="9"/>
      <c r="F8" s="9"/>
      <c r="G8" s="9"/>
      <c r="H8" s="12">
        <f>E8+F8-D8</f>
        <v>-100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71</v>
      </c>
      <c r="C9" s="9">
        <f>SUM(C5:C8)</f>
        <v>6000</v>
      </c>
      <c r="D9" s="9">
        <f aca="true" t="shared" si="1" ref="D9:M9">SUM(D5:D8)</f>
        <v>1652</v>
      </c>
      <c r="E9" s="9">
        <f t="shared" si="1"/>
        <v>436</v>
      </c>
      <c r="F9" s="9">
        <f t="shared" si="1"/>
        <v>1221</v>
      </c>
      <c r="G9" s="9">
        <f t="shared" si="1"/>
        <v>0</v>
      </c>
      <c r="H9" s="9">
        <f t="shared" si="1"/>
        <v>5</v>
      </c>
      <c r="I9" s="9">
        <f t="shared" si="1"/>
        <v>0</v>
      </c>
      <c r="J9" s="9">
        <f>SUM(J5:J8)</f>
        <v>6005</v>
      </c>
      <c r="K9" s="9">
        <f t="shared" si="1"/>
        <v>6185.15</v>
      </c>
      <c r="L9" s="9">
        <f t="shared" si="1"/>
        <v>6370.7045</v>
      </c>
      <c r="M9" s="9">
        <f t="shared" si="1"/>
        <v>6561.825634999999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6" t="s">
        <v>83</v>
      </c>
      <c r="C11" s="15">
        <v>88900</v>
      </c>
      <c r="D11" s="12">
        <f>E11+F11</f>
        <v>47621.10901749664</v>
      </c>
      <c r="E11" s="12">
        <v>31588</v>
      </c>
      <c r="F11" s="12">
        <v>16033.109017496636</v>
      </c>
      <c r="G11" s="12">
        <f>J11-F11-E11</f>
        <v>41278.89098250336</v>
      </c>
      <c r="H11" s="12">
        <f>E11+F11-D11</f>
        <v>0</v>
      </c>
      <c r="I11" s="12">
        <v>6317.523553162853</v>
      </c>
      <c r="J11" s="15">
        <v>88900</v>
      </c>
      <c r="K11" s="12">
        <f>J11*1.035</f>
        <v>92011.5</v>
      </c>
      <c r="L11" s="12">
        <f>K11*1.03</f>
        <v>94771.845</v>
      </c>
      <c r="M11" s="12">
        <f>L11*1.03</f>
        <v>97615.00035</v>
      </c>
      <c r="N11" s="2"/>
      <c r="O11" s="2"/>
      <c r="P11" s="2"/>
      <c r="Q11" s="2"/>
      <c r="R11" s="2"/>
    </row>
    <row r="12" spans="2:18" ht="15">
      <c r="B12" s="5" t="s">
        <v>115</v>
      </c>
      <c r="C12" s="9">
        <f aca="true" t="shared" si="2" ref="C12:M12">SUM(C11:C11)</f>
        <v>88900</v>
      </c>
      <c r="D12" s="9">
        <f t="shared" si="2"/>
        <v>47621.10901749664</v>
      </c>
      <c r="E12" s="9">
        <f t="shared" si="2"/>
        <v>31588</v>
      </c>
      <c r="F12" s="9">
        <f t="shared" si="2"/>
        <v>16033.109017496636</v>
      </c>
      <c r="G12" s="9">
        <f>SUM(G11:G11)</f>
        <v>41278.89098250336</v>
      </c>
      <c r="H12" s="9">
        <f>SUM(H11:H11)</f>
        <v>0</v>
      </c>
      <c r="I12" s="9">
        <f>SUM(I11:I11)</f>
        <v>6317.523553162853</v>
      </c>
      <c r="J12" s="9">
        <f>SUM(J11:J11)</f>
        <v>88900</v>
      </c>
      <c r="K12" s="9">
        <f t="shared" si="2"/>
        <v>92011.5</v>
      </c>
      <c r="L12" s="9">
        <f t="shared" si="2"/>
        <v>94771.845</v>
      </c>
      <c r="M12" s="9">
        <f t="shared" si="2"/>
        <v>97615.00035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62</v>
      </c>
      <c r="C14" s="9">
        <f aca="true" t="shared" si="3" ref="C14:M14">C9+C12</f>
        <v>94900</v>
      </c>
      <c r="D14" s="9">
        <f t="shared" si="3"/>
        <v>49273.10901749664</v>
      </c>
      <c r="E14" s="9">
        <f t="shared" si="3"/>
        <v>32024</v>
      </c>
      <c r="F14" s="9">
        <f t="shared" si="3"/>
        <v>17254.109017496638</v>
      </c>
      <c r="G14" s="9">
        <f>G9+G12</f>
        <v>41278.89098250336</v>
      </c>
      <c r="H14" s="9">
        <f>H9+H12</f>
        <v>5</v>
      </c>
      <c r="I14" s="9">
        <f>I9+I12</f>
        <v>6317.523553162853</v>
      </c>
      <c r="J14" s="9">
        <f>J9+J12</f>
        <v>94905</v>
      </c>
      <c r="K14" s="9">
        <f t="shared" si="3"/>
        <v>98196.65</v>
      </c>
      <c r="L14" s="9">
        <f t="shared" si="3"/>
        <v>101142.5495</v>
      </c>
      <c r="M14" s="9">
        <f t="shared" si="3"/>
        <v>104176.825985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127</v>
      </c>
      <c r="C16" s="12">
        <v>-3100</v>
      </c>
      <c r="D16" s="12">
        <v>-1595</v>
      </c>
      <c r="E16" s="12">
        <v>-1595</v>
      </c>
      <c r="F16" s="9"/>
      <c r="G16" s="9"/>
      <c r="H16" s="12">
        <f>E16+F16-D16</f>
        <v>0</v>
      </c>
      <c r="I16" s="12"/>
      <c r="J16" s="12">
        <v>-3145</v>
      </c>
      <c r="K16" s="12">
        <v>-3145</v>
      </c>
      <c r="L16" s="12">
        <v>-3145</v>
      </c>
      <c r="M16" s="12">
        <v>-3145</v>
      </c>
      <c r="N16" s="2"/>
      <c r="O16" s="2"/>
      <c r="P16" s="2"/>
      <c r="Q16" s="2"/>
      <c r="R16" s="2"/>
    </row>
    <row r="17" spans="2:18" ht="15">
      <c r="B17" s="6" t="s">
        <v>126</v>
      </c>
      <c r="C17" s="12">
        <v>-8500</v>
      </c>
      <c r="D17" s="12">
        <v>-4250</v>
      </c>
      <c r="E17" s="12">
        <v>-4192</v>
      </c>
      <c r="F17" s="12">
        <f>-2210-1272</f>
        <v>-3482</v>
      </c>
      <c r="G17" s="12"/>
      <c r="H17" s="12">
        <f>E17+F17-D17</f>
        <v>-3424</v>
      </c>
      <c r="I17" s="12"/>
      <c r="J17" s="12">
        <v>-8500</v>
      </c>
      <c r="K17" s="12">
        <v>0</v>
      </c>
      <c r="L17" s="12">
        <v>0</v>
      </c>
      <c r="M17" s="12">
        <v>0</v>
      </c>
      <c r="N17" s="2"/>
      <c r="O17" s="2"/>
      <c r="P17" s="2"/>
      <c r="Q17" s="2"/>
      <c r="R17" s="2"/>
    </row>
    <row r="18" spans="2:18" ht="15">
      <c r="B18" s="5" t="s">
        <v>0</v>
      </c>
      <c r="C18" s="9">
        <f aca="true" t="shared" si="4" ref="C18:M18">SUM(C16:C17)</f>
        <v>-11600</v>
      </c>
      <c r="D18" s="9">
        <f t="shared" si="4"/>
        <v>-5845</v>
      </c>
      <c r="E18" s="9">
        <f t="shared" si="4"/>
        <v>-5787</v>
      </c>
      <c r="F18" s="9">
        <f t="shared" si="4"/>
        <v>-3482</v>
      </c>
      <c r="G18" s="9">
        <f t="shared" si="4"/>
        <v>0</v>
      </c>
      <c r="H18" s="9">
        <f t="shared" si="4"/>
        <v>-3424</v>
      </c>
      <c r="I18" s="9">
        <f t="shared" si="4"/>
        <v>0</v>
      </c>
      <c r="J18" s="9">
        <f t="shared" si="4"/>
        <v>-11645</v>
      </c>
      <c r="K18" s="9">
        <f t="shared" si="4"/>
        <v>-3145</v>
      </c>
      <c r="L18" s="9">
        <f t="shared" si="4"/>
        <v>-3145</v>
      </c>
      <c r="M18" s="9">
        <f t="shared" si="4"/>
        <v>-3145</v>
      </c>
      <c r="N18" s="2"/>
      <c r="O18" s="2"/>
      <c r="P18" s="2"/>
      <c r="Q18" s="2"/>
      <c r="R18" s="2"/>
    </row>
    <row r="19" spans="2:18" ht="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"/>
      <c r="O19" s="2"/>
      <c r="P19" s="2"/>
      <c r="Q19" s="2"/>
      <c r="R19" s="2"/>
    </row>
    <row r="20" spans="2:18" ht="15">
      <c r="B20" s="5" t="s">
        <v>65</v>
      </c>
      <c r="C20" s="9">
        <f aca="true" t="shared" si="5" ref="C20:M20">C14+C18</f>
        <v>83300</v>
      </c>
      <c r="D20" s="9">
        <f t="shared" si="5"/>
        <v>43428.10901749664</v>
      </c>
      <c r="E20" s="9">
        <f t="shared" si="5"/>
        <v>26237</v>
      </c>
      <c r="F20" s="9">
        <f t="shared" si="5"/>
        <v>13772.109017496638</v>
      </c>
      <c r="G20" s="9">
        <f t="shared" si="5"/>
        <v>41278.89098250336</v>
      </c>
      <c r="H20" s="9">
        <f t="shared" si="5"/>
        <v>-3419</v>
      </c>
      <c r="I20" s="9">
        <f t="shared" si="5"/>
        <v>6317.523553162853</v>
      </c>
      <c r="J20" s="9">
        <f t="shared" si="5"/>
        <v>83260</v>
      </c>
      <c r="K20" s="9">
        <f t="shared" si="5"/>
        <v>95051.65</v>
      </c>
      <c r="L20" s="9">
        <f t="shared" si="5"/>
        <v>97997.5495</v>
      </c>
      <c r="M20" s="9">
        <f t="shared" si="5"/>
        <v>101031.825985</v>
      </c>
      <c r="N20" s="2"/>
      <c r="O20" s="2"/>
      <c r="P20" s="2"/>
      <c r="Q20" s="2"/>
      <c r="R20" s="2"/>
    </row>
    <row r="22" ht="15">
      <c r="B22" s="20"/>
    </row>
    <row r="23" ht="15">
      <c r="B23" s="19"/>
    </row>
    <row r="25" ht="15">
      <c r="B25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PageLayoutView="0" workbookViewId="0" topLeftCell="A10">
      <selection activeCell="B35" sqref="B3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89</v>
      </c>
      <c r="C5" s="12">
        <v>4200</v>
      </c>
      <c r="D5" s="9"/>
      <c r="E5" s="9"/>
      <c r="F5" s="9"/>
      <c r="G5" s="9"/>
      <c r="H5" s="12">
        <f>E5+F5-D5</f>
        <v>0</v>
      </c>
      <c r="I5" s="12"/>
      <c r="J5" s="12">
        <v>4200</v>
      </c>
      <c r="K5" s="12">
        <f>J5*1.03</f>
        <v>4326</v>
      </c>
      <c r="L5" s="12">
        <f>K5*1.03</f>
        <v>4455.78</v>
      </c>
      <c r="M5" s="12">
        <f>L5*1.03</f>
        <v>4589.453399999999</v>
      </c>
      <c r="N5" s="2"/>
      <c r="O5" s="2"/>
      <c r="P5" s="2"/>
      <c r="Q5" s="2"/>
      <c r="R5" s="2"/>
    </row>
    <row r="6" spans="2:18" ht="15">
      <c r="B6" s="6" t="s">
        <v>90</v>
      </c>
      <c r="C6" s="12">
        <v>400</v>
      </c>
      <c r="D6" s="12">
        <v>400</v>
      </c>
      <c r="E6" s="9"/>
      <c r="F6" s="9"/>
      <c r="G6" s="9"/>
      <c r="H6" s="12">
        <f>E6+F6-D6</f>
        <v>-400</v>
      </c>
      <c r="I6" s="12"/>
      <c r="J6" s="12">
        <v>0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6" t="s">
        <v>139</v>
      </c>
      <c r="C7" s="12">
        <v>1400</v>
      </c>
      <c r="D7" s="9"/>
      <c r="E7" s="9"/>
      <c r="F7" s="9"/>
      <c r="G7" s="9"/>
      <c r="H7" s="12">
        <f>E7+F7-D7</f>
        <v>0</v>
      </c>
      <c r="I7" s="12"/>
      <c r="J7" s="12">
        <v>0</v>
      </c>
      <c r="K7" s="12">
        <v>50000</v>
      </c>
      <c r="L7" s="12">
        <v>50000</v>
      </c>
      <c r="M7" s="12">
        <v>50000</v>
      </c>
      <c r="N7" s="2"/>
      <c r="O7" s="2"/>
      <c r="P7" s="2"/>
      <c r="Q7" s="2"/>
      <c r="R7" s="2"/>
    </row>
    <row r="8" spans="2:18" ht="15">
      <c r="B8" s="5" t="s">
        <v>71</v>
      </c>
      <c r="C8" s="9">
        <f>SUM(C5:C7)</f>
        <v>6000</v>
      </c>
      <c r="D8" s="9">
        <f aca="true" t="shared" si="0" ref="D8:M8">SUM(D5:D7)</f>
        <v>400</v>
      </c>
      <c r="E8" s="9">
        <f t="shared" si="0"/>
        <v>0</v>
      </c>
      <c r="F8" s="9">
        <f t="shared" si="0"/>
        <v>0</v>
      </c>
      <c r="G8" s="9"/>
      <c r="H8" s="9">
        <f t="shared" si="0"/>
        <v>-400</v>
      </c>
      <c r="I8" s="9"/>
      <c r="J8" s="9">
        <f>SUM(J5:J7)</f>
        <v>4200</v>
      </c>
      <c r="K8" s="9">
        <f t="shared" si="0"/>
        <v>54326</v>
      </c>
      <c r="L8" s="9">
        <f t="shared" si="0"/>
        <v>54455.78</v>
      </c>
      <c r="M8" s="9">
        <f t="shared" si="0"/>
        <v>54589.4534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6" t="s">
        <v>91</v>
      </c>
      <c r="C10" s="12">
        <v>1800</v>
      </c>
      <c r="D10" s="12">
        <f>E10+F10</f>
        <v>964.1991924629879</v>
      </c>
      <c r="E10" s="12">
        <v>639.5693135935397</v>
      </c>
      <c r="F10" s="12">
        <v>324.6298788694482</v>
      </c>
      <c r="G10" s="12">
        <f aca="true" t="shared" si="1" ref="G10:G26">J10-F10-E10</f>
        <v>835.800807537012</v>
      </c>
      <c r="H10" s="12">
        <f aca="true" t="shared" si="2" ref="H10:H26">E10+F10-D10</f>
        <v>0</v>
      </c>
      <c r="I10" s="12">
        <v>127.91386271870793</v>
      </c>
      <c r="J10" s="12">
        <v>1800</v>
      </c>
      <c r="K10" s="12">
        <f>J10*1.035</f>
        <v>1862.9999999999998</v>
      </c>
      <c r="L10" s="12">
        <f aca="true" t="shared" si="3" ref="L10:M26">K10*1.03</f>
        <v>1918.8899999999999</v>
      </c>
      <c r="M10" s="12">
        <f t="shared" si="3"/>
        <v>1976.4567</v>
      </c>
      <c r="N10" s="2"/>
      <c r="O10" s="2"/>
      <c r="P10" s="2"/>
      <c r="Q10" s="2"/>
      <c r="R10" s="2"/>
    </row>
    <row r="11" spans="2:18" ht="15">
      <c r="B11" s="6" t="s">
        <v>27</v>
      </c>
      <c r="C11" s="11">
        <v>6300</v>
      </c>
      <c r="D11" s="12">
        <f aca="true" t="shared" si="4" ref="D11:D26">E11+F11</f>
        <v>3374.6971736204573</v>
      </c>
      <c r="E11" s="12">
        <v>2238.4925975773886</v>
      </c>
      <c r="F11" s="12">
        <v>1136.2045760430688</v>
      </c>
      <c r="G11" s="12">
        <f t="shared" si="1"/>
        <v>2925.302826379543</v>
      </c>
      <c r="H11" s="12">
        <f t="shared" si="2"/>
        <v>0</v>
      </c>
      <c r="I11" s="12">
        <v>447.6985195154777</v>
      </c>
      <c r="J11" s="11">
        <v>6300</v>
      </c>
      <c r="K11" s="12">
        <f aca="true" t="shared" si="5" ref="K11:K26">J11*1.035</f>
        <v>6520.499999999999</v>
      </c>
      <c r="L11" s="12">
        <f t="shared" si="3"/>
        <v>6716.114999999999</v>
      </c>
      <c r="M11" s="12">
        <f t="shared" si="3"/>
        <v>6917.598449999999</v>
      </c>
      <c r="N11" s="2"/>
      <c r="O11" s="2"/>
      <c r="P11" s="2"/>
      <c r="Q11" s="2"/>
      <c r="R11" s="2"/>
    </row>
    <row r="12" spans="2:18" ht="15">
      <c r="B12" s="6" t="s">
        <v>28</v>
      </c>
      <c r="C12" s="11">
        <v>7900</v>
      </c>
      <c r="D12" s="12">
        <f t="shared" si="4"/>
        <v>4231.763122476446</v>
      </c>
      <c r="E12" s="12">
        <v>2806.99865410498</v>
      </c>
      <c r="F12" s="12">
        <v>1424.764468371467</v>
      </c>
      <c r="G12" s="12">
        <f t="shared" si="1"/>
        <v>3668.236877523553</v>
      </c>
      <c r="H12" s="12">
        <f t="shared" si="2"/>
        <v>0</v>
      </c>
      <c r="I12" s="12">
        <v>561.399730820996</v>
      </c>
      <c r="J12" s="11">
        <v>7900</v>
      </c>
      <c r="K12" s="12">
        <f t="shared" si="5"/>
        <v>8176.499999999999</v>
      </c>
      <c r="L12" s="12">
        <f t="shared" si="3"/>
        <v>8421.795</v>
      </c>
      <c r="M12" s="12">
        <f t="shared" si="3"/>
        <v>8674.44885</v>
      </c>
      <c r="N12" s="2"/>
      <c r="O12" s="2"/>
      <c r="P12" s="2"/>
      <c r="Q12" s="2"/>
      <c r="R12" s="2"/>
    </row>
    <row r="13" spans="2:18" ht="15">
      <c r="B13" s="10" t="s">
        <v>66</v>
      </c>
      <c r="C13" s="11">
        <v>200</v>
      </c>
      <c r="D13" s="12">
        <f t="shared" si="4"/>
        <v>107.13324360699865</v>
      </c>
      <c r="E13" s="12">
        <v>71.06325706594885</v>
      </c>
      <c r="F13" s="12">
        <v>36.0699865410498</v>
      </c>
      <c r="G13" s="12">
        <f t="shared" si="1"/>
        <v>92.86675639300137</v>
      </c>
      <c r="H13" s="12">
        <f t="shared" si="2"/>
        <v>0</v>
      </c>
      <c r="I13" s="12">
        <v>14.21265141318977</v>
      </c>
      <c r="J13" s="11">
        <v>200</v>
      </c>
      <c r="K13" s="12">
        <f t="shared" si="5"/>
        <v>206.99999999999997</v>
      </c>
      <c r="L13" s="12">
        <f t="shared" si="3"/>
        <v>213.20999999999998</v>
      </c>
      <c r="M13" s="12">
        <f t="shared" si="3"/>
        <v>219.60629999999998</v>
      </c>
      <c r="N13" s="2"/>
      <c r="O13" s="2"/>
      <c r="P13" s="2"/>
      <c r="Q13" s="2"/>
      <c r="R13" s="2"/>
    </row>
    <row r="14" spans="2:18" ht="15">
      <c r="B14" s="6" t="s">
        <v>39</v>
      </c>
      <c r="C14" s="11">
        <v>2200</v>
      </c>
      <c r="D14" s="12">
        <f t="shared" si="4"/>
        <v>1178.465679676985</v>
      </c>
      <c r="E14" s="12">
        <v>781.6958277254373</v>
      </c>
      <c r="F14" s="12">
        <v>396.76985195154776</v>
      </c>
      <c r="G14" s="12">
        <f t="shared" si="1"/>
        <v>1021.534320323015</v>
      </c>
      <c r="H14" s="12">
        <f t="shared" si="2"/>
        <v>0</v>
      </c>
      <c r="I14" s="12">
        <v>156.33916554508747</v>
      </c>
      <c r="J14" s="11">
        <v>2200</v>
      </c>
      <c r="K14" s="12">
        <f t="shared" si="5"/>
        <v>2277</v>
      </c>
      <c r="L14" s="12">
        <f t="shared" si="3"/>
        <v>2345.31</v>
      </c>
      <c r="M14" s="12">
        <f t="shared" si="3"/>
        <v>2415.6693</v>
      </c>
      <c r="N14" s="2"/>
      <c r="O14" s="2"/>
      <c r="P14" s="2"/>
      <c r="Q14" s="2"/>
      <c r="R14" s="2"/>
    </row>
    <row r="15" spans="2:18" ht="15">
      <c r="B15" s="6" t="s">
        <v>64</v>
      </c>
      <c r="C15" s="11">
        <v>1400</v>
      </c>
      <c r="D15" s="12">
        <f t="shared" si="4"/>
        <v>749.9327052489906</v>
      </c>
      <c r="E15" s="12">
        <v>497.44279946164204</v>
      </c>
      <c r="F15" s="12">
        <v>252.4899057873486</v>
      </c>
      <c r="G15" s="12">
        <f t="shared" si="1"/>
        <v>650.0672947510094</v>
      </c>
      <c r="H15" s="12">
        <f t="shared" si="2"/>
        <v>0</v>
      </c>
      <c r="I15" s="12">
        <v>99.48855989232841</v>
      </c>
      <c r="J15" s="11">
        <v>1400</v>
      </c>
      <c r="K15" s="12">
        <f t="shared" si="5"/>
        <v>1449</v>
      </c>
      <c r="L15" s="12">
        <f t="shared" si="3"/>
        <v>1492.47</v>
      </c>
      <c r="M15" s="12">
        <f t="shared" si="3"/>
        <v>1537.2441000000001</v>
      </c>
      <c r="N15" s="2"/>
      <c r="O15" s="2"/>
      <c r="P15" s="2"/>
      <c r="Q15" s="2"/>
      <c r="R15" s="2"/>
    </row>
    <row r="16" spans="2:18" ht="15">
      <c r="B16" s="6" t="s">
        <v>40</v>
      </c>
      <c r="C16" s="11">
        <v>1400</v>
      </c>
      <c r="D16" s="12">
        <f t="shared" si="4"/>
        <v>749.9327052489906</v>
      </c>
      <c r="E16" s="12">
        <v>497.44279946164204</v>
      </c>
      <c r="F16" s="12">
        <v>252.4899057873486</v>
      </c>
      <c r="G16" s="12">
        <f t="shared" si="1"/>
        <v>650.0672947510094</v>
      </c>
      <c r="H16" s="12">
        <f t="shared" si="2"/>
        <v>0</v>
      </c>
      <c r="I16" s="12">
        <v>99.48855989232841</v>
      </c>
      <c r="J16" s="11">
        <v>1400</v>
      </c>
      <c r="K16" s="12">
        <f t="shared" si="5"/>
        <v>1449</v>
      </c>
      <c r="L16" s="12">
        <f t="shared" si="3"/>
        <v>1492.47</v>
      </c>
      <c r="M16" s="12">
        <f t="shared" si="3"/>
        <v>1537.2441000000001</v>
      </c>
      <c r="N16" s="2"/>
      <c r="O16" s="2"/>
      <c r="P16" s="2"/>
      <c r="Q16" s="2"/>
      <c r="R16" s="2"/>
    </row>
    <row r="17" spans="2:18" ht="15">
      <c r="B17" s="6" t="s">
        <v>41</v>
      </c>
      <c r="C17" s="11">
        <v>1400</v>
      </c>
      <c r="D17" s="12">
        <f t="shared" si="4"/>
        <v>749.9327052489906</v>
      </c>
      <c r="E17" s="12">
        <v>497.44279946164204</v>
      </c>
      <c r="F17" s="12">
        <v>252.4899057873486</v>
      </c>
      <c r="G17" s="12">
        <f t="shared" si="1"/>
        <v>650.0672947510094</v>
      </c>
      <c r="H17" s="12">
        <f t="shared" si="2"/>
        <v>0</v>
      </c>
      <c r="I17" s="12">
        <v>99.48855989232841</v>
      </c>
      <c r="J17" s="11">
        <v>1400</v>
      </c>
      <c r="K17" s="12">
        <f t="shared" si="5"/>
        <v>1449</v>
      </c>
      <c r="L17" s="12">
        <f t="shared" si="3"/>
        <v>1492.47</v>
      </c>
      <c r="M17" s="12">
        <f t="shared" si="3"/>
        <v>1537.2441000000001</v>
      </c>
      <c r="N17" s="2"/>
      <c r="O17" s="2"/>
      <c r="P17" s="2"/>
      <c r="Q17" s="2"/>
      <c r="R17" s="2"/>
    </row>
    <row r="18" spans="2:18" ht="15">
      <c r="B18" s="10" t="s">
        <v>67</v>
      </c>
      <c r="C18" s="11">
        <v>1100</v>
      </c>
      <c r="D18" s="12">
        <f t="shared" si="4"/>
        <v>589.2328398384925</v>
      </c>
      <c r="E18" s="12">
        <v>390.84791386271866</v>
      </c>
      <c r="F18" s="12">
        <v>198.38492597577388</v>
      </c>
      <c r="G18" s="12">
        <f t="shared" si="1"/>
        <v>510.7671601615075</v>
      </c>
      <c r="H18" s="12">
        <f t="shared" si="2"/>
        <v>0</v>
      </c>
      <c r="I18" s="12">
        <v>78.16958277254373</v>
      </c>
      <c r="J18" s="11">
        <v>1100</v>
      </c>
      <c r="K18" s="12">
        <f t="shared" si="5"/>
        <v>1138.5</v>
      </c>
      <c r="L18" s="12">
        <f t="shared" si="3"/>
        <v>1172.655</v>
      </c>
      <c r="M18" s="12">
        <f t="shared" si="3"/>
        <v>1207.83465</v>
      </c>
      <c r="N18" s="2"/>
      <c r="O18" s="2"/>
      <c r="P18" s="2"/>
      <c r="Q18" s="2"/>
      <c r="R18" s="2"/>
    </row>
    <row r="19" spans="2:18" ht="15">
      <c r="B19" s="6" t="s">
        <v>42</v>
      </c>
      <c r="C19" s="11">
        <v>1400</v>
      </c>
      <c r="D19" s="12">
        <f t="shared" si="4"/>
        <v>749.9327052489906</v>
      </c>
      <c r="E19" s="12">
        <v>497.44279946164204</v>
      </c>
      <c r="F19" s="12">
        <v>252.4899057873486</v>
      </c>
      <c r="G19" s="12">
        <f t="shared" si="1"/>
        <v>650.0672947510094</v>
      </c>
      <c r="H19" s="12">
        <f t="shared" si="2"/>
        <v>0</v>
      </c>
      <c r="I19" s="12">
        <v>99.48855989232841</v>
      </c>
      <c r="J19" s="11">
        <v>1400</v>
      </c>
      <c r="K19" s="12">
        <f t="shared" si="5"/>
        <v>1449</v>
      </c>
      <c r="L19" s="12">
        <f t="shared" si="3"/>
        <v>1492.47</v>
      </c>
      <c r="M19" s="12">
        <f t="shared" si="3"/>
        <v>1537.2441000000001</v>
      </c>
      <c r="N19" s="2"/>
      <c r="O19" s="2"/>
      <c r="P19" s="2"/>
      <c r="Q19" s="2"/>
      <c r="R19" s="2"/>
    </row>
    <row r="20" spans="2:18" ht="15">
      <c r="B20" s="10" t="s">
        <v>68</v>
      </c>
      <c r="C20" s="11">
        <v>1400</v>
      </c>
      <c r="D20" s="12">
        <f t="shared" si="4"/>
        <v>749.9327052489906</v>
      </c>
      <c r="E20" s="12">
        <v>497.44279946164204</v>
      </c>
      <c r="F20" s="12">
        <v>252.4899057873486</v>
      </c>
      <c r="G20" s="12">
        <f t="shared" si="1"/>
        <v>650.0672947510094</v>
      </c>
      <c r="H20" s="12">
        <f t="shared" si="2"/>
        <v>0</v>
      </c>
      <c r="I20" s="12">
        <v>99.48855989232841</v>
      </c>
      <c r="J20" s="11">
        <v>1400</v>
      </c>
      <c r="K20" s="12">
        <f t="shared" si="5"/>
        <v>1449</v>
      </c>
      <c r="L20" s="12">
        <f t="shared" si="3"/>
        <v>1492.47</v>
      </c>
      <c r="M20" s="12">
        <f t="shared" si="3"/>
        <v>1537.2441000000001</v>
      </c>
      <c r="N20" s="2"/>
      <c r="O20" s="2"/>
      <c r="P20" s="2"/>
      <c r="Q20" s="2"/>
      <c r="R20" s="2"/>
    </row>
    <row r="21" spans="2:18" ht="15">
      <c r="B21" s="6" t="s">
        <v>43</v>
      </c>
      <c r="C21" s="11">
        <v>1200</v>
      </c>
      <c r="D21" s="12">
        <f t="shared" si="4"/>
        <v>642.7994616419919</v>
      </c>
      <c r="E21" s="12">
        <v>426.37954239569314</v>
      </c>
      <c r="F21" s="12">
        <v>216.41991924629878</v>
      </c>
      <c r="G21" s="12">
        <f t="shared" si="1"/>
        <v>557.2005383580081</v>
      </c>
      <c r="H21" s="12">
        <f t="shared" si="2"/>
        <v>0</v>
      </c>
      <c r="I21" s="12">
        <v>85.27590847913864</v>
      </c>
      <c r="J21" s="11">
        <v>1200</v>
      </c>
      <c r="K21" s="12">
        <f t="shared" si="5"/>
        <v>1242</v>
      </c>
      <c r="L21" s="12">
        <f t="shared" si="3"/>
        <v>1279.26</v>
      </c>
      <c r="M21" s="12">
        <f t="shared" si="3"/>
        <v>1317.6378</v>
      </c>
      <c r="N21" s="2"/>
      <c r="O21" s="2"/>
      <c r="P21" s="2"/>
      <c r="Q21" s="2"/>
      <c r="R21" s="2"/>
    </row>
    <row r="22" spans="2:18" ht="15">
      <c r="B22" s="6" t="s">
        <v>44</v>
      </c>
      <c r="C22" s="11">
        <v>1400</v>
      </c>
      <c r="D22" s="12">
        <f t="shared" si="4"/>
        <v>749.9327052489906</v>
      </c>
      <c r="E22" s="12">
        <v>497.44279946164204</v>
      </c>
      <c r="F22" s="12">
        <v>252.4899057873486</v>
      </c>
      <c r="G22" s="12">
        <f t="shared" si="1"/>
        <v>650.0672947510094</v>
      </c>
      <c r="H22" s="12">
        <f t="shared" si="2"/>
        <v>0</v>
      </c>
      <c r="I22" s="12">
        <v>99.48855989232841</v>
      </c>
      <c r="J22" s="11">
        <v>1400</v>
      </c>
      <c r="K22" s="12">
        <f t="shared" si="5"/>
        <v>1449</v>
      </c>
      <c r="L22" s="12">
        <f t="shared" si="3"/>
        <v>1492.47</v>
      </c>
      <c r="M22" s="12">
        <f t="shared" si="3"/>
        <v>1537.2441000000001</v>
      </c>
      <c r="N22" s="2"/>
      <c r="O22" s="2"/>
      <c r="P22" s="2"/>
      <c r="Q22" s="2"/>
      <c r="R22" s="2"/>
    </row>
    <row r="23" spans="2:18" ht="15">
      <c r="B23" s="6" t="s">
        <v>45</v>
      </c>
      <c r="C23" s="11">
        <v>1400</v>
      </c>
      <c r="D23" s="12">
        <f t="shared" si="4"/>
        <v>749.9327052489906</v>
      </c>
      <c r="E23" s="12">
        <v>497.44279946164204</v>
      </c>
      <c r="F23" s="12">
        <v>252.4899057873486</v>
      </c>
      <c r="G23" s="12">
        <f t="shared" si="1"/>
        <v>650.0672947510094</v>
      </c>
      <c r="H23" s="12">
        <f t="shared" si="2"/>
        <v>0</v>
      </c>
      <c r="I23" s="12">
        <v>99.48855989232841</v>
      </c>
      <c r="J23" s="11">
        <v>1400</v>
      </c>
      <c r="K23" s="12">
        <f t="shared" si="5"/>
        <v>1449</v>
      </c>
      <c r="L23" s="12">
        <f t="shared" si="3"/>
        <v>1492.47</v>
      </c>
      <c r="M23" s="12">
        <f t="shared" si="3"/>
        <v>1537.2441000000001</v>
      </c>
      <c r="N23" s="2"/>
      <c r="O23" s="2"/>
      <c r="P23" s="2"/>
      <c r="Q23" s="2"/>
      <c r="R23" s="2"/>
    </row>
    <row r="24" spans="2:18" ht="15">
      <c r="B24" s="6" t="s">
        <v>46</v>
      </c>
      <c r="C24" s="11">
        <v>1400</v>
      </c>
      <c r="D24" s="12">
        <f t="shared" si="4"/>
        <v>749.9327052489906</v>
      </c>
      <c r="E24" s="12">
        <v>497.44279946164204</v>
      </c>
      <c r="F24" s="12">
        <v>252.4899057873486</v>
      </c>
      <c r="G24" s="12">
        <f t="shared" si="1"/>
        <v>650.0672947510094</v>
      </c>
      <c r="H24" s="12">
        <f t="shared" si="2"/>
        <v>0</v>
      </c>
      <c r="I24" s="12">
        <v>99.48855989232841</v>
      </c>
      <c r="J24" s="11">
        <v>1400</v>
      </c>
      <c r="K24" s="12">
        <f t="shared" si="5"/>
        <v>1449</v>
      </c>
      <c r="L24" s="12">
        <f t="shared" si="3"/>
        <v>1492.47</v>
      </c>
      <c r="M24" s="12">
        <f t="shared" si="3"/>
        <v>1537.2441000000001</v>
      </c>
      <c r="N24" s="2"/>
      <c r="O24" s="2"/>
      <c r="P24" s="2"/>
      <c r="Q24" s="2"/>
      <c r="R24" s="2"/>
    </row>
    <row r="25" spans="2:18" ht="15">
      <c r="B25" s="6" t="s">
        <v>47</v>
      </c>
      <c r="C25" s="11">
        <v>1400</v>
      </c>
      <c r="D25" s="12">
        <f t="shared" si="4"/>
        <v>749.9327052489906</v>
      </c>
      <c r="E25" s="12">
        <v>497.44279946164204</v>
      </c>
      <c r="F25" s="12">
        <v>252.4899057873486</v>
      </c>
      <c r="G25" s="12">
        <f t="shared" si="1"/>
        <v>650.0672947510094</v>
      </c>
      <c r="H25" s="12">
        <f t="shared" si="2"/>
        <v>0</v>
      </c>
      <c r="I25" s="12">
        <v>99.48855989232841</v>
      </c>
      <c r="J25" s="11">
        <v>1400</v>
      </c>
      <c r="K25" s="12">
        <f t="shared" si="5"/>
        <v>1449</v>
      </c>
      <c r="L25" s="12">
        <f t="shared" si="3"/>
        <v>1492.47</v>
      </c>
      <c r="M25" s="12">
        <f t="shared" si="3"/>
        <v>1537.2441000000001</v>
      </c>
      <c r="N25" s="2"/>
      <c r="O25" s="2"/>
      <c r="P25" s="2"/>
      <c r="Q25" s="2"/>
      <c r="R25" s="2"/>
    </row>
    <row r="26" spans="2:18" ht="15">
      <c r="B26" s="6" t="s">
        <v>118</v>
      </c>
      <c r="C26" s="11">
        <v>0</v>
      </c>
      <c r="D26" s="12">
        <f t="shared" si="4"/>
        <v>267.83310901749667</v>
      </c>
      <c r="E26" s="12">
        <v>177.65814266487214</v>
      </c>
      <c r="F26" s="12">
        <v>90.1749663526245</v>
      </c>
      <c r="G26" s="12">
        <f t="shared" si="1"/>
        <v>232.16689098250336</v>
      </c>
      <c r="H26" s="12">
        <f t="shared" si="2"/>
        <v>0</v>
      </c>
      <c r="I26" s="12">
        <v>35.53162853297443</v>
      </c>
      <c r="J26" s="11">
        <v>500</v>
      </c>
      <c r="K26" s="12">
        <f t="shared" si="5"/>
        <v>517.5</v>
      </c>
      <c r="L26" s="12">
        <f t="shared" si="3"/>
        <v>533.025</v>
      </c>
      <c r="M26" s="12">
        <f t="shared" si="3"/>
        <v>549.01575</v>
      </c>
      <c r="N26" s="2"/>
      <c r="O26" s="2"/>
      <c r="P26" s="2"/>
      <c r="Q26" s="2"/>
      <c r="R26" s="2"/>
    </row>
    <row r="27" spans="2:18" ht="15">
      <c r="B27" s="5" t="s">
        <v>115</v>
      </c>
      <c r="C27" s="9">
        <f>SUM(C10:C26)</f>
        <v>33300</v>
      </c>
      <c r="D27" s="9">
        <f aca="true" t="shared" si="6" ref="D27:M27">SUM(D10:D26)</f>
        <v>18105.518169582767</v>
      </c>
      <c r="E27" s="9">
        <f t="shared" si="6"/>
        <v>12009.690444145352</v>
      </c>
      <c r="F27" s="9">
        <f t="shared" si="6"/>
        <v>6095.827725437418</v>
      </c>
      <c r="G27" s="9">
        <f t="shared" si="6"/>
        <v>15694.481830417235</v>
      </c>
      <c r="H27" s="9">
        <f t="shared" si="6"/>
        <v>0</v>
      </c>
      <c r="I27" s="9">
        <f t="shared" si="6"/>
        <v>2401.938088829071</v>
      </c>
      <c r="J27" s="9">
        <f t="shared" si="6"/>
        <v>33800</v>
      </c>
      <c r="K27" s="9">
        <f t="shared" si="6"/>
        <v>34983</v>
      </c>
      <c r="L27" s="9">
        <f t="shared" si="6"/>
        <v>36032.490000000005</v>
      </c>
      <c r="M27" s="9">
        <f t="shared" si="6"/>
        <v>37113.46470000001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62</v>
      </c>
      <c r="C29" s="9">
        <f>C27+C8</f>
        <v>39300</v>
      </c>
      <c r="D29" s="9">
        <f aca="true" t="shared" si="7" ref="D29:M29">D27+D8</f>
        <v>18505.518169582767</v>
      </c>
      <c r="E29" s="9">
        <f t="shared" si="7"/>
        <v>12009.690444145352</v>
      </c>
      <c r="F29" s="9">
        <f t="shared" si="7"/>
        <v>6095.827725437418</v>
      </c>
      <c r="G29" s="9"/>
      <c r="H29" s="9">
        <f t="shared" si="7"/>
        <v>-400</v>
      </c>
      <c r="I29" s="9"/>
      <c r="J29" s="9">
        <f>J27+J8</f>
        <v>38000</v>
      </c>
      <c r="K29" s="9">
        <f t="shared" si="7"/>
        <v>89309</v>
      </c>
      <c r="L29" s="9">
        <f t="shared" si="7"/>
        <v>90488.27</v>
      </c>
      <c r="M29" s="9">
        <f t="shared" si="7"/>
        <v>91702.91810000001</v>
      </c>
      <c r="N29" s="2"/>
      <c r="O29" s="2"/>
      <c r="P29" s="2"/>
      <c r="Q29" s="2"/>
      <c r="R29" s="2"/>
    </row>
    <row r="30" spans="2:18" ht="15"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</row>
    <row r="31" spans="2:18" ht="15">
      <c r="B31" s="5" t="s">
        <v>0</v>
      </c>
      <c r="C31" s="9">
        <v>0</v>
      </c>
      <c r="D31" s="9">
        <v>0</v>
      </c>
      <c r="E31" s="9">
        <v>0</v>
      </c>
      <c r="F31" s="9">
        <v>0</v>
      </c>
      <c r="G31" s="9"/>
      <c r="H31" s="9">
        <f>E31+F31+G31-D31</f>
        <v>0</v>
      </c>
      <c r="I31" s="9"/>
      <c r="J31" s="9">
        <v>0</v>
      </c>
      <c r="K31" s="9">
        <v>0</v>
      </c>
      <c r="L31" s="9">
        <v>0</v>
      </c>
      <c r="M31" s="9">
        <v>0</v>
      </c>
      <c r="N31" s="2"/>
      <c r="O31" s="2"/>
      <c r="P31" s="2"/>
      <c r="Q31" s="2"/>
      <c r="R31" s="2"/>
    </row>
    <row r="32" spans="2:18" ht="15"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</row>
    <row r="33" spans="2:18" ht="15">
      <c r="B33" s="5" t="s">
        <v>65</v>
      </c>
      <c r="C33" s="9">
        <f aca="true" t="shared" si="8" ref="C33:M33">C29+C31</f>
        <v>39300</v>
      </c>
      <c r="D33" s="9">
        <f t="shared" si="8"/>
        <v>18505.518169582767</v>
      </c>
      <c r="E33" s="9">
        <f t="shared" si="8"/>
        <v>12009.690444145352</v>
      </c>
      <c r="F33" s="9">
        <f t="shared" si="8"/>
        <v>6095.827725437418</v>
      </c>
      <c r="G33" s="9"/>
      <c r="H33" s="9">
        <f t="shared" si="8"/>
        <v>-400</v>
      </c>
      <c r="I33" s="9"/>
      <c r="J33" s="9">
        <f>J29+J31</f>
        <v>38000</v>
      </c>
      <c r="K33" s="9">
        <f t="shared" si="8"/>
        <v>89309</v>
      </c>
      <c r="L33" s="9">
        <f t="shared" si="8"/>
        <v>90488.27</v>
      </c>
      <c r="M33" s="9">
        <f t="shared" si="8"/>
        <v>91702.91810000001</v>
      </c>
      <c r="N33" s="2"/>
      <c r="O33" s="2"/>
      <c r="P33" s="2"/>
      <c r="Q33" s="2"/>
      <c r="R33" s="2"/>
    </row>
    <row r="35" ht="15">
      <c r="B35" s="1"/>
    </row>
    <row r="38" ht="15">
      <c r="B38" s="2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zoomScalePageLayoutView="0" workbookViewId="0" topLeftCell="A1">
      <selection activeCell="M16" sqref="M1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1200</v>
      </c>
      <c r="D5" s="12">
        <v>400</v>
      </c>
      <c r="E5" s="12">
        <v>402</v>
      </c>
      <c r="F5" s="12">
        <v>218</v>
      </c>
      <c r="G5" s="12"/>
      <c r="H5" s="12">
        <f>E5+F5-D5</f>
        <v>220</v>
      </c>
      <c r="I5" s="12"/>
      <c r="J5" s="12">
        <v>1660</v>
      </c>
      <c r="K5" s="12">
        <f aca="true" t="shared" si="0" ref="K5:M9">J5*1.03</f>
        <v>1709.8</v>
      </c>
      <c r="L5" s="12">
        <f t="shared" si="0"/>
        <v>1761.094</v>
      </c>
      <c r="M5" s="12">
        <f t="shared" si="0"/>
        <v>1813.9268200000001</v>
      </c>
      <c r="N5" s="2"/>
      <c r="O5" s="2"/>
      <c r="P5" s="2"/>
      <c r="Q5" s="2"/>
      <c r="R5" s="2"/>
    </row>
    <row r="6" spans="2:18" ht="15">
      <c r="B6" s="6" t="s">
        <v>72</v>
      </c>
      <c r="C6" s="12">
        <v>600</v>
      </c>
      <c r="D6" s="12">
        <v>200</v>
      </c>
      <c r="E6" s="12">
        <v>442</v>
      </c>
      <c r="F6" s="9"/>
      <c r="G6" s="9"/>
      <c r="H6" s="12">
        <f>E6+F6-D6</f>
        <v>242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121</v>
      </c>
      <c r="C7" s="12">
        <v>0</v>
      </c>
      <c r="D7" s="12">
        <v>0</v>
      </c>
      <c r="E7" s="12">
        <v>235</v>
      </c>
      <c r="F7" s="12"/>
      <c r="G7" s="12"/>
      <c r="H7" s="12">
        <f>E7+F7-D7</f>
        <v>235</v>
      </c>
      <c r="I7" s="12"/>
      <c r="J7" s="12">
        <v>235</v>
      </c>
      <c r="K7" s="12">
        <f t="shared" si="0"/>
        <v>242.05</v>
      </c>
      <c r="L7" s="12">
        <f t="shared" si="0"/>
        <v>249.31150000000002</v>
      </c>
      <c r="M7" s="12">
        <f t="shared" si="0"/>
        <v>256.79084500000005</v>
      </c>
      <c r="N7" s="2"/>
      <c r="O7" s="2"/>
      <c r="P7" s="2"/>
      <c r="Q7" s="2"/>
      <c r="R7" s="2"/>
    </row>
    <row r="8" spans="2:18" ht="15">
      <c r="B8" s="6" t="s">
        <v>61</v>
      </c>
      <c r="C8" s="12">
        <v>600</v>
      </c>
      <c r="D8" s="12">
        <v>600</v>
      </c>
      <c r="E8" s="9"/>
      <c r="F8" s="9"/>
      <c r="G8" s="9"/>
      <c r="H8" s="12">
        <f>E8+F8-D8</f>
        <v>-600</v>
      </c>
      <c r="I8" s="12"/>
      <c r="J8" s="12"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2"/>
      <c r="O8" s="2"/>
      <c r="P8" s="2"/>
      <c r="Q8" s="2"/>
      <c r="R8" s="2"/>
    </row>
    <row r="9" spans="2:18" ht="15">
      <c r="B9" s="6" t="s">
        <v>60</v>
      </c>
      <c r="C9" s="12">
        <v>600</v>
      </c>
      <c r="D9" s="12">
        <v>200</v>
      </c>
      <c r="E9" s="12">
        <v>98</v>
      </c>
      <c r="F9" s="12">
        <v>65</v>
      </c>
      <c r="G9" s="12"/>
      <c r="H9" s="12">
        <f>E9+F9-D9</f>
        <v>-37</v>
      </c>
      <c r="I9" s="12"/>
      <c r="J9" s="12">
        <v>600</v>
      </c>
      <c r="K9" s="12">
        <f t="shared" si="0"/>
        <v>618</v>
      </c>
      <c r="L9" s="12">
        <f t="shared" si="0"/>
        <v>636.54</v>
      </c>
      <c r="M9" s="12">
        <f t="shared" si="0"/>
        <v>655.6362</v>
      </c>
      <c r="N9" s="2"/>
      <c r="O9" s="2"/>
      <c r="P9" s="2"/>
      <c r="Q9" s="2"/>
      <c r="R9" s="2"/>
    </row>
    <row r="10" spans="2:18" ht="15">
      <c r="B10" s="5" t="s">
        <v>71</v>
      </c>
      <c r="C10" s="9">
        <f>SUM(C5:C9)</f>
        <v>3000</v>
      </c>
      <c r="D10" s="9">
        <f aca="true" t="shared" si="1" ref="D10:M10">SUM(D5:D9)</f>
        <v>1400</v>
      </c>
      <c r="E10" s="9">
        <f t="shared" si="1"/>
        <v>1177</v>
      </c>
      <c r="F10" s="9">
        <f t="shared" si="1"/>
        <v>283</v>
      </c>
      <c r="G10" s="9">
        <f t="shared" si="1"/>
        <v>0</v>
      </c>
      <c r="H10" s="9">
        <f t="shared" si="1"/>
        <v>60</v>
      </c>
      <c r="I10" s="9">
        <f t="shared" si="1"/>
        <v>0</v>
      </c>
      <c r="J10" s="9">
        <f>SUM(J5:J9)</f>
        <v>3095</v>
      </c>
      <c r="K10" s="9">
        <f t="shared" si="1"/>
        <v>3187.8500000000004</v>
      </c>
      <c r="L10" s="9">
        <f t="shared" si="1"/>
        <v>3283.4855</v>
      </c>
      <c r="M10" s="9">
        <f t="shared" si="1"/>
        <v>3381.990065</v>
      </c>
      <c r="N10" s="2"/>
      <c r="O10" s="2"/>
      <c r="P10" s="2"/>
      <c r="Q10" s="2"/>
      <c r="R10" s="2"/>
    </row>
    <row r="11" spans="2:18" ht="15">
      <c r="B11" s="7"/>
      <c r="C11" s="12"/>
      <c r="D11" s="9"/>
      <c r="E11" s="9"/>
      <c r="F11" s="9"/>
      <c r="G11" s="9"/>
      <c r="H11" s="12"/>
      <c r="I11" s="12"/>
      <c r="J11" s="12"/>
      <c r="K11" s="12"/>
      <c r="L11" s="12"/>
      <c r="M11" s="12"/>
      <c r="N11" s="2"/>
      <c r="O11" s="2"/>
      <c r="P11" s="2"/>
      <c r="Q11" s="2"/>
      <c r="R11" s="2"/>
    </row>
    <row r="12" spans="2:18" ht="15">
      <c r="B12" s="5" t="s">
        <v>115</v>
      </c>
      <c r="C12" s="9">
        <v>82900</v>
      </c>
      <c r="D12" s="9">
        <f>E12+F12</f>
        <v>44407.009421265146</v>
      </c>
      <c r="E12" s="9">
        <v>29456</v>
      </c>
      <c r="F12" s="9">
        <v>14951.009421265142</v>
      </c>
      <c r="G12" s="9">
        <f>J12-F12-E12</f>
        <v>38492.990578734854</v>
      </c>
      <c r="H12" s="9">
        <f>E12+F12-D12</f>
        <v>0</v>
      </c>
      <c r="I12" s="9">
        <v>5891.144010767159</v>
      </c>
      <c r="J12" s="9">
        <v>82900</v>
      </c>
      <c r="K12" s="9">
        <f>J12*1.035</f>
        <v>85801.5</v>
      </c>
      <c r="L12" s="9">
        <f>K12*1.03</f>
        <v>88375.545</v>
      </c>
      <c r="M12" s="9">
        <f>L12*1.03</f>
        <v>91026.81135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62</v>
      </c>
      <c r="C14" s="9">
        <f aca="true" t="shared" si="2" ref="C14:M14">C12+C10</f>
        <v>85900</v>
      </c>
      <c r="D14" s="9">
        <f t="shared" si="2"/>
        <v>45807.009421265146</v>
      </c>
      <c r="E14" s="9">
        <f t="shared" si="2"/>
        <v>30633</v>
      </c>
      <c r="F14" s="9">
        <f t="shared" si="2"/>
        <v>15234.009421265142</v>
      </c>
      <c r="G14" s="9">
        <f t="shared" si="2"/>
        <v>38492.990578734854</v>
      </c>
      <c r="H14" s="9">
        <f t="shared" si="2"/>
        <v>60</v>
      </c>
      <c r="I14" s="9">
        <f t="shared" si="2"/>
        <v>5891.144010767159</v>
      </c>
      <c r="J14" s="9">
        <f>J12+J10</f>
        <v>85995</v>
      </c>
      <c r="K14" s="9">
        <f t="shared" si="2"/>
        <v>88989.35</v>
      </c>
      <c r="L14" s="9">
        <f t="shared" si="2"/>
        <v>91659.0305</v>
      </c>
      <c r="M14" s="9">
        <f t="shared" si="2"/>
        <v>94408.80141500001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6" t="s">
        <v>126</v>
      </c>
      <c r="C16" s="12">
        <v>-9900</v>
      </c>
      <c r="D16" s="12">
        <v>-4950</v>
      </c>
      <c r="E16" s="12">
        <v>-914</v>
      </c>
      <c r="F16" s="12">
        <f>-816-138</f>
        <v>-954</v>
      </c>
      <c r="G16" s="12"/>
      <c r="H16" s="12">
        <f>E16+F16-D16</f>
        <v>3082</v>
      </c>
      <c r="I16" s="12"/>
      <c r="J16" s="12">
        <v>-9900</v>
      </c>
      <c r="K16" s="12">
        <v>0</v>
      </c>
      <c r="L16" s="12">
        <v>0</v>
      </c>
      <c r="M16" s="12">
        <v>0</v>
      </c>
      <c r="N16" s="2"/>
      <c r="O16" s="2"/>
      <c r="P16" s="2"/>
      <c r="Q16" s="2"/>
      <c r="R16" s="2"/>
    </row>
    <row r="17" spans="2:18" ht="15">
      <c r="B17" s="5" t="s">
        <v>0</v>
      </c>
      <c r="C17" s="9">
        <f>C16</f>
        <v>-9900</v>
      </c>
      <c r="D17" s="9">
        <f aca="true" t="shared" si="3" ref="D17:M17">D16</f>
        <v>-4950</v>
      </c>
      <c r="E17" s="9">
        <f t="shared" si="3"/>
        <v>-914</v>
      </c>
      <c r="F17" s="9">
        <f t="shared" si="3"/>
        <v>-954</v>
      </c>
      <c r="G17" s="9">
        <f>G16</f>
        <v>0</v>
      </c>
      <c r="H17" s="9">
        <f>H16</f>
        <v>3082</v>
      </c>
      <c r="I17" s="9">
        <f>I16</f>
        <v>0</v>
      </c>
      <c r="J17" s="9">
        <f>J16</f>
        <v>-9900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65</v>
      </c>
      <c r="C19" s="9">
        <f aca="true" t="shared" si="4" ref="C19:M19">C14+C17</f>
        <v>76000</v>
      </c>
      <c r="D19" s="9">
        <f t="shared" si="4"/>
        <v>40857.009421265146</v>
      </c>
      <c r="E19" s="9">
        <f t="shared" si="4"/>
        <v>29719</v>
      </c>
      <c r="F19" s="9">
        <f t="shared" si="4"/>
        <v>14280.009421265142</v>
      </c>
      <c r="G19" s="9">
        <f>G14+G17</f>
        <v>38492.990578734854</v>
      </c>
      <c r="H19" s="9">
        <f>H14+H17</f>
        <v>3142</v>
      </c>
      <c r="I19" s="9">
        <f>I14+I17</f>
        <v>5891.144010767159</v>
      </c>
      <c r="J19" s="9">
        <f>J14+J17</f>
        <v>76095</v>
      </c>
      <c r="K19" s="9">
        <f t="shared" si="4"/>
        <v>88989.35</v>
      </c>
      <c r="L19" s="9">
        <f t="shared" si="4"/>
        <v>91659.0305</v>
      </c>
      <c r="M19" s="9">
        <f t="shared" si="4"/>
        <v>94408.80141500001</v>
      </c>
      <c r="N19" s="2"/>
      <c r="O19" s="2"/>
      <c r="P19" s="2"/>
      <c r="Q19" s="2"/>
      <c r="R19" s="2"/>
    </row>
    <row r="21" ht="15">
      <c r="B21" s="1"/>
    </row>
    <row r="24" ht="15">
      <c r="B24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4">
      <selection activeCell="S14" sqref="S14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10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2500</v>
      </c>
      <c r="D5" s="12">
        <v>830</v>
      </c>
      <c r="E5" s="12">
        <v>450</v>
      </c>
      <c r="F5" s="12">
        <v>130</v>
      </c>
      <c r="G5" s="12"/>
      <c r="H5" s="12">
        <f>E5+F5-D5</f>
        <v>-250</v>
      </c>
      <c r="I5" s="12"/>
      <c r="J5" s="12">
        <v>2500</v>
      </c>
      <c r="K5" s="12">
        <f aca="true" t="shared" si="0" ref="K5:M7">J5*1.03</f>
        <v>2575</v>
      </c>
      <c r="L5" s="12">
        <f t="shared" si="0"/>
        <v>2652.25</v>
      </c>
      <c r="M5" s="12">
        <f t="shared" si="0"/>
        <v>2731.8175</v>
      </c>
      <c r="N5" s="2"/>
      <c r="O5" s="2"/>
      <c r="P5" s="2"/>
      <c r="Q5" s="2"/>
      <c r="R5" s="2"/>
    </row>
    <row r="6" spans="2:18" ht="15">
      <c r="B6" s="6" t="s">
        <v>61</v>
      </c>
      <c r="C6" s="12">
        <v>500</v>
      </c>
      <c r="D6" s="12">
        <v>500</v>
      </c>
      <c r="E6" s="9"/>
      <c r="F6" s="9"/>
      <c r="G6" s="9"/>
      <c r="H6" s="12">
        <f>E6+F6-D6</f>
        <v>-500</v>
      </c>
      <c r="I6" s="12"/>
      <c r="J6" s="12"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2"/>
      <c r="O6" s="2"/>
      <c r="P6" s="2"/>
      <c r="Q6" s="2"/>
      <c r="R6" s="2"/>
    </row>
    <row r="7" spans="2:18" ht="15">
      <c r="B7" s="6" t="s">
        <v>72</v>
      </c>
      <c r="C7" s="12">
        <v>2400</v>
      </c>
      <c r="D7" s="12">
        <v>800</v>
      </c>
      <c r="E7" s="9"/>
      <c r="F7" s="12">
        <v>63</v>
      </c>
      <c r="G7" s="9"/>
      <c r="H7" s="12">
        <f>E7+F7-D7</f>
        <v>-737</v>
      </c>
      <c r="I7" s="12"/>
      <c r="J7" s="12">
        <v>2400</v>
      </c>
      <c r="K7" s="12">
        <f t="shared" si="0"/>
        <v>2472</v>
      </c>
      <c r="L7" s="12">
        <f t="shared" si="0"/>
        <v>2546.16</v>
      </c>
      <c r="M7" s="12">
        <f t="shared" si="0"/>
        <v>2622.5448</v>
      </c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1" ref="C8:M8">SUM(C5:C7)</f>
        <v>5400</v>
      </c>
      <c r="D8" s="9">
        <f t="shared" si="1"/>
        <v>2130</v>
      </c>
      <c r="E8" s="9">
        <f t="shared" si="1"/>
        <v>450</v>
      </c>
      <c r="F8" s="9">
        <f t="shared" si="1"/>
        <v>193</v>
      </c>
      <c r="G8" s="9">
        <f t="shared" si="1"/>
        <v>0</v>
      </c>
      <c r="H8" s="9">
        <f t="shared" si="1"/>
        <v>-1487</v>
      </c>
      <c r="I8" s="9">
        <f t="shared" si="1"/>
        <v>0</v>
      </c>
      <c r="J8" s="9">
        <f>SUM(J5:J7)</f>
        <v>4900</v>
      </c>
      <c r="K8" s="9">
        <f t="shared" si="1"/>
        <v>5047</v>
      </c>
      <c r="L8" s="9">
        <f t="shared" si="1"/>
        <v>5198.41</v>
      </c>
      <c r="M8" s="9">
        <f t="shared" si="1"/>
        <v>5354.362300000001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91300</v>
      </c>
      <c r="D10" s="9">
        <f>E10+F10</f>
        <v>48905.948855989234</v>
      </c>
      <c r="E10" s="9">
        <v>32440</v>
      </c>
      <c r="F10" s="9">
        <v>16465.948855989234</v>
      </c>
      <c r="G10" s="9">
        <f>J10-F10-E10</f>
        <v>42394.051144010766</v>
      </c>
      <c r="H10" s="9">
        <f>E10+F10-D10</f>
        <v>0</v>
      </c>
      <c r="I10" s="9">
        <v>6488.075370121131</v>
      </c>
      <c r="J10" s="9">
        <v>91300</v>
      </c>
      <c r="K10" s="9">
        <f>J10*1.035</f>
        <v>94495.49999999999</v>
      </c>
      <c r="L10" s="9">
        <f>K10*1.03</f>
        <v>97330.36499999999</v>
      </c>
      <c r="M10" s="9">
        <f>L10*1.03</f>
        <v>100250.27595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C10+C8</f>
        <v>96700</v>
      </c>
      <c r="D12" s="9">
        <f t="shared" si="2"/>
        <v>51035.948855989234</v>
      </c>
      <c r="E12" s="9">
        <f t="shared" si="2"/>
        <v>32890</v>
      </c>
      <c r="F12" s="9">
        <f t="shared" si="2"/>
        <v>16658.948855989234</v>
      </c>
      <c r="G12" s="9">
        <f t="shared" si="2"/>
        <v>42394.051144010766</v>
      </c>
      <c r="H12" s="9">
        <f t="shared" si="2"/>
        <v>-1487</v>
      </c>
      <c r="I12" s="9">
        <f t="shared" si="2"/>
        <v>6488.075370121131</v>
      </c>
      <c r="J12" s="9">
        <f>J10+J8</f>
        <v>96200</v>
      </c>
      <c r="K12" s="9">
        <f t="shared" si="2"/>
        <v>99542.49999999999</v>
      </c>
      <c r="L12" s="9">
        <f t="shared" si="2"/>
        <v>102528.775</v>
      </c>
      <c r="M12" s="9">
        <f t="shared" si="2"/>
        <v>105604.63824999999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126</v>
      </c>
      <c r="C14" s="12">
        <v>-4600</v>
      </c>
      <c r="D14" s="12">
        <v>-2300</v>
      </c>
      <c r="E14" s="12">
        <v>-3239</v>
      </c>
      <c r="F14" s="12">
        <f>-784-365</f>
        <v>-1149</v>
      </c>
      <c r="G14" s="12"/>
      <c r="H14" s="12">
        <f>E14+F14-D14</f>
        <v>-2088</v>
      </c>
      <c r="I14" s="12"/>
      <c r="J14" s="12">
        <v>-4600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80</v>
      </c>
      <c r="C15" s="12">
        <v>-4800</v>
      </c>
      <c r="D15" s="12">
        <v>-3125</v>
      </c>
      <c r="E15" s="12">
        <v>-3125</v>
      </c>
      <c r="F15" s="9"/>
      <c r="G15" s="9"/>
      <c r="H15" s="12">
        <f>E15+F15-D15</f>
        <v>0</v>
      </c>
      <c r="I15" s="12"/>
      <c r="J15" s="12">
        <v>-6250</v>
      </c>
      <c r="K15" s="12">
        <v>-6250</v>
      </c>
      <c r="L15" s="12">
        <v>-6250</v>
      </c>
      <c r="M15" s="12">
        <v>-6250</v>
      </c>
      <c r="N15" s="2"/>
      <c r="O15" s="2"/>
      <c r="P15" s="2"/>
      <c r="Q15" s="2"/>
      <c r="R15" s="2"/>
    </row>
    <row r="16" spans="2:18" ht="15">
      <c r="B16" s="5" t="s">
        <v>0</v>
      </c>
      <c r="C16" s="9">
        <f>SUM(C14:C15)</f>
        <v>-9400</v>
      </c>
      <c r="D16" s="9">
        <f aca="true" t="shared" si="3" ref="D16:M16">SUM(D14:D15)</f>
        <v>-5425</v>
      </c>
      <c r="E16" s="9">
        <f t="shared" si="3"/>
        <v>-6364</v>
      </c>
      <c r="F16" s="9">
        <f t="shared" si="3"/>
        <v>-1149</v>
      </c>
      <c r="G16" s="9">
        <f t="shared" si="3"/>
        <v>0</v>
      </c>
      <c r="H16" s="9">
        <f t="shared" si="3"/>
        <v>-2088</v>
      </c>
      <c r="I16" s="9">
        <f t="shared" si="3"/>
        <v>0</v>
      </c>
      <c r="J16" s="9">
        <f>SUM(J14:J15)</f>
        <v>-10850</v>
      </c>
      <c r="K16" s="9">
        <f t="shared" si="3"/>
        <v>-6250</v>
      </c>
      <c r="L16" s="9">
        <f t="shared" si="3"/>
        <v>-6250</v>
      </c>
      <c r="M16" s="9">
        <f t="shared" si="3"/>
        <v>-6250</v>
      </c>
      <c r="N16" s="2"/>
      <c r="O16" s="2"/>
      <c r="P16" s="2"/>
      <c r="Q16" s="2"/>
      <c r="R16" s="2"/>
    </row>
    <row r="17" spans="2:18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5" t="s">
        <v>65</v>
      </c>
      <c r="C18" s="9">
        <f aca="true" t="shared" si="4" ref="C18:M18">C12+C16</f>
        <v>87300</v>
      </c>
      <c r="D18" s="9">
        <f t="shared" si="4"/>
        <v>45610.948855989234</v>
      </c>
      <c r="E18" s="9">
        <f t="shared" si="4"/>
        <v>26526</v>
      </c>
      <c r="F18" s="9">
        <f t="shared" si="4"/>
        <v>15509.948855989234</v>
      </c>
      <c r="G18" s="9">
        <f t="shared" si="4"/>
        <v>42394.051144010766</v>
      </c>
      <c r="H18" s="9">
        <f t="shared" si="4"/>
        <v>-3575</v>
      </c>
      <c r="I18" s="9">
        <f t="shared" si="4"/>
        <v>6488.075370121131</v>
      </c>
      <c r="J18" s="9">
        <f>J12+J16</f>
        <v>85350</v>
      </c>
      <c r="K18" s="9">
        <f t="shared" si="4"/>
        <v>93292.49999999999</v>
      </c>
      <c r="L18" s="9">
        <f t="shared" si="4"/>
        <v>96278.775</v>
      </c>
      <c r="M18" s="9">
        <f t="shared" si="4"/>
        <v>99354.63824999999</v>
      </c>
      <c r="N18" s="2"/>
      <c r="O18" s="2"/>
      <c r="P18" s="2"/>
      <c r="Q18" s="2"/>
      <c r="R18" s="2"/>
    </row>
    <row r="20" ht="15">
      <c r="B20" s="1"/>
    </row>
    <row r="23" ht="15">
      <c r="B23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8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92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300</v>
      </c>
      <c r="D5" s="12">
        <v>100</v>
      </c>
      <c r="E5">
        <v>67</v>
      </c>
      <c r="F5" s="12">
        <v>64</v>
      </c>
      <c r="G5" s="12"/>
      <c r="H5" s="12">
        <f>E5+F5-D5</f>
        <v>31</v>
      </c>
      <c r="I5" s="12"/>
      <c r="J5" s="12">
        <v>400</v>
      </c>
      <c r="K5" s="12">
        <f aca="true" t="shared" si="0" ref="K5:M6">J5*1.03</f>
        <v>412</v>
      </c>
      <c r="L5" s="12">
        <f t="shared" si="0"/>
        <v>424.36</v>
      </c>
      <c r="M5" s="12">
        <f t="shared" si="0"/>
        <v>437.0908</v>
      </c>
      <c r="N5" s="2"/>
      <c r="O5" s="2"/>
      <c r="P5" s="2"/>
      <c r="Q5" s="2"/>
      <c r="R5" s="2"/>
    </row>
    <row r="6" spans="2:18" ht="15">
      <c r="B6" s="6" t="s">
        <v>72</v>
      </c>
      <c r="C6" s="12">
        <v>600</v>
      </c>
      <c r="D6" s="12">
        <v>200</v>
      </c>
      <c r="E6" s="12">
        <v>194</v>
      </c>
      <c r="F6" s="12">
        <v>97</v>
      </c>
      <c r="G6" s="9"/>
      <c r="H6" s="12">
        <f>E6+F6-D6</f>
        <v>91</v>
      </c>
      <c r="I6" s="12"/>
      <c r="J6" s="12">
        <v>600</v>
      </c>
      <c r="K6" s="12">
        <f t="shared" si="0"/>
        <v>618</v>
      </c>
      <c r="L6" s="12">
        <f t="shared" si="0"/>
        <v>636.54</v>
      </c>
      <c r="M6" s="12">
        <f t="shared" si="0"/>
        <v>655.6362</v>
      </c>
      <c r="N6" s="2"/>
      <c r="O6" s="2"/>
      <c r="P6" s="2"/>
      <c r="Q6" s="2"/>
      <c r="R6" s="2"/>
    </row>
    <row r="7" spans="2:18" ht="15">
      <c r="B7" s="6" t="s">
        <v>50</v>
      </c>
      <c r="C7" s="12">
        <v>1100</v>
      </c>
      <c r="D7" s="12">
        <v>1100</v>
      </c>
      <c r="E7" s="12">
        <v>1142</v>
      </c>
      <c r="F7" s="12"/>
      <c r="G7" s="12"/>
      <c r="H7" s="12">
        <f>E7+F7-D7</f>
        <v>42</v>
      </c>
      <c r="I7" s="12"/>
      <c r="J7" s="12">
        <v>1142</v>
      </c>
      <c r="K7" s="12">
        <v>0</v>
      </c>
      <c r="L7" s="12">
        <v>0</v>
      </c>
      <c r="M7" s="12">
        <v>0</v>
      </c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1" ref="C8:M8">SUM(C5:C7)</f>
        <v>2000</v>
      </c>
      <c r="D8" s="9">
        <f t="shared" si="1"/>
        <v>1400</v>
      </c>
      <c r="E8" s="9">
        <f t="shared" si="1"/>
        <v>1403</v>
      </c>
      <c r="F8" s="9">
        <f>SUM(F5:F7)</f>
        <v>161</v>
      </c>
      <c r="G8" s="9">
        <f>SUM(G5:G7)</f>
        <v>0</v>
      </c>
      <c r="H8" s="9">
        <f>SUM(H5:H7)</f>
        <v>164</v>
      </c>
      <c r="I8" s="9">
        <f>SUM(I5:I7)</f>
        <v>0</v>
      </c>
      <c r="J8" s="9">
        <f>SUM(J5:J7)</f>
        <v>2142</v>
      </c>
      <c r="K8" s="9">
        <f t="shared" si="1"/>
        <v>1030</v>
      </c>
      <c r="L8" s="9">
        <f t="shared" si="1"/>
        <v>1060.9</v>
      </c>
      <c r="M8" s="9">
        <f t="shared" si="1"/>
        <v>1092.727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9"/>
      <c r="I9" s="9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C10+C8</f>
        <v>7800</v>
      </c>
      <c r="D12" s="9">
        <f t="shared" si="2"/>
        <v>4507.029609690444</v>
      </c>
      <c r="E12" s="9">
        <f t="shared" si="2"/>
        <v>3464</v>
      </c>
      <c r="F12" s="9">
        <f t="shared" si="2"/>
        <v>1207.029609690444</v>
      </c>
      <c r="G12" s="9">
        <f>G10+G8</f>
        <v>2692.970390309556</v>
      </c>
      <c r="H12" s="9">
        <f>H10+H8</f>
        <v>164</v>
      </c>
      <c r="I12" s="9">
        <f>I10+I8</f>
        <v>412.16689098250333</v>
      </c>
      <c r="J12" s="9">
        <f>J10+J8</f>
        <v>7942</v>
      </c>
      <c r="K12" s="9">
        <f t="shared" si="2"/>
        <v>7032.999999999999</v>
      </c>
      <c r="L12" s="9">
        <f t="shared" si="2"/>
        <v>7243.99</v>
      </c>
      <c r="M12" s="9">
        <f t="shared" si="2"/>
        <v>7461.309699999999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65</v>
      </c>
      <c r="C16" s="9">
        <f aca="true" t="shared" si="3" ref="C16:M16">C12+C14</f>
        <v>7800</v>
      </c>
      <c r="D16" s="9">
        <f t="shared" si="3"/>
        <v>4507.029609690444</v>
      </c>
      <c r="E16" s="9">
        <f t="shared" si="3"/>
        <v>3464</v>
      </c>
      <c r="F16" s="9">
        <f t="shared" si="3"/>
        <v>1207.029609690444</v>
      </c>
      <c r="G16" s="9">
        <f>G12+G14</f>
        <v>2692.970390309556</v>
      </c>
      <c r="H16" s="9">
        <f>H12+H14</f>
        <v>164</v>
      </c>
      <c r="I16" s="9">
        <f>I12+I14</f>
        <v>412.16689098250333</v>
      </c>
      <c r="J16" s="9">
        <f>J12+J14</f>
        <v>7942</v>
      </c>
      <c r="K16" s="9">
        <f t="shared" si="3"/>
        <v>7032.999999999999</v>
      </c>
      <c r="L16" s="9">
        <f t="shared" si="3"/>
        <v>7243.99</v>
      </c>
      <c r="M16" s="9">
        <f t="shared" si="3"/>
        <v>7461.309699999999</v>
      </c>
      <c r="N16" s="2"/>
      <c r="O16" s="2"/>
      <c r="P16" s="2"/>
      <c r="Q16" s="2"/>
      <c r="R16" s="2"/>
    </row>
    <row r="18" ht="15">
      <c r="B18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7"/>
  <sheetViews>
    <sheetView zoomScalePageLayoutView="0" workbookViewId="0" topLeftCell="A1">
      <selection activeCell="M6" sqref="M6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93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>
        <v>1800</v>
      </c>
      <c r="D5" s="12">
        <v>600</v>
      </c>
      <c r="E5" s="9"/>
      <c r="F5" s="9"/>
      <c r="G5" s="9"/>
      <c r="H5" s="12">
        <f>E5+F5-D5</f>
        <v>-600</v>
      </c>
      <c r="I5" s="12"/>
      <c r="J5" s="12">
        <v>1800</v>
      </c>
      <c r="K5" s="12">
        <f>J5*1.03</f>
        <v>1854</v>
      </c>
      <c r="L5" s="12">
        <f>K5*1.03</f>
        <v>1909.6200000000001</v>
      </c>
      <c r="M5" s="12">
        <f>L5*1.03</f>
        <v>1966.9086000000002</v>
      </c>
      <c r="N5" s="2"/>
      <c r="O5" s="2"/>
      <c r="P5" s="2"/>
      <c r="Q5" s="2"/>
      <c r="R5" s="2"/>
    </row>
    <row r="6" spans="2:18" ht="15">
      <c r="B6" s="6" t="s">
        <v>50</v>
      </c>
      <c r="C6" s="12">
        <v>1100</v>
      </c>
      <c r="D6" s="12">
        <v>1100</v>
      </c>
      <c r="E6" s="12">
        <v>1095</v>
      </c>
      <c r="F6" s="12"/>
      <c r="G6" s="12"/>
      <c r="H6" s="12">
        <f>E6+F6-D6</f>
        <v>-5</v>
      </c>
      <c r="I6" s="12"/>
      <c r="J6" s="12">
        <v>1095</v>
      </c>
      <c r="K6" s="12">
        <v>0</v>
      </c>
      <c r="L6" s="12">
        <v>0</v>
      </c>
      <c r="M6" s="12">
        <v>0</v>
      </c>
      <c r="N6" s="2"/>
      <c r="O6" s="2"/>
      <c r="P6" s="2"/>
      <c r="Q6" s="2"/>
      <c r="R6" s="2"/>
    </row>
    <row r="7" spans="2:18" ht="15">
      <c r="B7" s="5" t="s">
        <v>71</v>
      </c>
      <c r="C7" s="9">
        <f aca="true" t="shared" si="0" ref="C7:M7">SUM(C5:C6)</f>
        <v>2900</v>
      </c>
      <c r="D7" s="9">
        <f t="shared" si="0"/>
        <v>1700</v>
      </c>
      <c r="E7" s="9">
        <f t="shared" si="0"/>
        <v>1095</v>
      </c>
      <c r="F7" s="9">
        <f t="shared" si="0"/>
        <v>0</v>
      </c>
      <c r="G7" s="9">
        <f t="shared" si="0"/>
        <v>0</v>
      </c>
      <c r="H7" s="9">
        <f t="shared" si="0"/>
        <v>-605</v>
      </c>
      <c r="I7" s="9">
        <f t="shared" si="0"/>
        <v>0</v>
      </c>
      <c r="J7" s="9">
        <f>SUM(J5:J6)</f>
        <v>2895</v>
      </c>
      <c r="K7" s="9">
        <f t="shared" si="0"/>
        <v>1854</v>
      </c>
      <c r="L7" s="9">
        <f t="shared" si="0"/>
        <v>1909.6200000000001</v>
      </c>
      <c r="M7" s="9">
        <f t="shared" si="0"/>
        <v>1966.9086000000002</v>
      </c>
      <c r="N7" s="2"/>
      <c r="O7" s="2"/>
      <c r="P7" s="2"/>
      <c r="Q7" s="2"/>
      <c r="R7" s="2"/>
    </row>
    <row r="8" spans="2:18" ht="15">
      <c r="B8" s="7"/>
      <c r="C8" s="12"/>
      <c r="D8" s="9"/>
      <c r="E8" s="9"/>
      <c r="F8" s="9"/>
      <c r="G8" s="9"/>
      <c r="H8" s="12"/>
      <c r="I8" s="12"/>
      <c r="J8" s="12"/>
      <c r="K8" s="12"/>
      <c r="L8" s="12"/>
      <c r="M8" s="12"/>
      <c r="N8" s="2"/>
      <c r="O8" s="2"/>
      <c r="P8" s="2"/>
      <c r="Q8" s="2"/>
      <c r="R8" s="2"/>
    </row>
    <row r="9" spans="2:18" ht="15">
      <c r="B9" s="5" t="s">
        <v>115</v>
      </c>
      <c r="C9" s="9">
        <v>6600</v>
      </c>
      <c r="D9" s="9">
        <f>E9+F9</f>
        <v>3535.3095558546433</v>
      </c>
      <c r="E9" s="9">
        <v>2345</v>
      </c>
      <c r="F9" s="9">
        <v>1190.3095558546433</v>
      </c>
      <c r="G9" s="9">
        <f>J9-F9-E9</f>
        <v>3064.690444145357</v>
      </c>
      <c r="H9" s="9">
        <f>E9+F9-D9</f>
        <v>0</v>
      </c>
      <c r="I9" s="9">
        <v>469.0174966352624</v>
      </c>
      <c r="J9" s="9">
        <v>6600</v>
      </c>
      <c r="K9" s="9">
        <f>J9*1.035</f>
        <v>6830.999999999999</v>
      </c>
      <c r="L9" s="9">
        <f>K9*1.03</f>
        <v>7035.929999999999</v>
      </c>
      <c r="M9" s="9">
        <f>L9*1.03</f>
        <v>7247.0079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62</v>
      </c>
      <c r="C11" s="9">
        <f aca="true" t="shared" si="1" ref="C11:M11">C9+C7</f>
        <v>9500</v>
      </c>
      <c r="D11" s="9">
        <f t="shared" si="1"/>
        <v>5235.309555854643</v>
      </c>
      <c r="E11" s="9">
        <f t="shared" si="1"/>
        <v>3440</v>
      </c>
      <c r="F11" s="9">
        <f t="shared" si="1"/>
        <v>1190.3095558546433</v>
      </c>
      <c r="G11" s="9">
        <f t="shared" si="1"/>
        <v>3064.690444145357</v>
      </c>
      <c r="H11" s="9">
        <f t="shared" si="1"/>
        <v>-605</v>
      </c>
      <c r="I11" s="9">
        <f t="shared" si="1"/>
        <v>469.0174966352624</v>
      </c>
      <c r="J11" s="9">
        <f>J9+J7</f>
        <v>9495</v>
      </c>
      <c r="K11" s="9">
        <f t="shared" si="1"/>
        <v>8685</v>
      </c>
      <c r="L11" s="9">
        <f t="shared" si="1"/>
        <v>8945.55</v>
      </c>
      <c r="M11" s="9">
        <f t="shared" si="1"/>
        <v>9213.9165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E13+F13+G13-D13</f>
        <v>0</v>
      </c>
      <c r="I13" s="9">
        <v>0</v>
      </c>
      <c r="J13" s="9">
        <f>F13+H13-E13</f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65</v>
      </c>
      <c r="C15" s="9">
        <f aca="true" t="shared" si="2" ref="C15:M15">C11+C13</f>
        <v>9500</v>
      </c>
      <c r="D15" s="9">
        <f t="shared" si="2"/>
        <v>5235.309555854643</v>
      </c>
      <c r="E15" s="9">
        <f t="shared" si="2"/>
        <v>3440</v>
      </c>
      <c r="F15" s="9">
        <f t="shared" si="2"/>
        <v>1190.3095558546433</v>
      </c>
      <c r="G15" s="9">
        <f t="shared" si="2"/>
        <v>3064.690444145357</v>
      </c>
      <c r="H15" s="9">
        <f t="shared" si="2"/>
        <v>-605</v>
      </c>
      <c r="I15" s="9">
        <f t="shared" si="2"/>
        <v>469.0174966352624</v>
      </c>
      <c r="J15" s="9">
        <f>J11+J13</f>
        <v>9495</v>
      </c>
      <c r="K15" s="9">
        <f t="shared" si="2"/>
        <v>8685</v>
      </c>
      <c r="L15" s="9">
        <f t="shared" si="2"/>
        <v>8945.55</v>
      </c>
      <c r="M15" s="9">
        <f t="shared" si="2"/>
        <v>9213.9165</v>
      </c>
      <c r="N15" s="2"/>
      <c r="O15" s="2"/>
      <c r="P15" s="2"/>
      <c r="Q15" s="2"/>
      <c r="R15" s="2"/>
    </row>
    <row r="17" ht="15">
      <c r="B17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94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>
        <v>900</v>
      </c>
      <c r="D5" s="12">
        <v>300</v>
      </c>
      <c r="E5" s="12"/>
      <c r="F5" s="9"/>
      <c r="G5" s="9"/>
      <c r="H5" s="12">
        <f>E5+F5-D5</f>
        <v>-300</v>
      </c>
      <c r="I5" s="12"/>
      <c r="J5" s="12">
        <v>900</v>
      </c>
      <c r="K5" s="12">
        <f aca="true" t="shared" si="0" ref="K5:M7">J5*1.03</f>
        <v>927</v>
      </c>
      <c r="L5" s="12">
        <f t="shared" si="0"/>
        <v>954.8100000000001</v>
      </c>
      <c r="M5" s="12">
        <f t="shared" si="0"/>
        <v>983.4543000000001</v>
      </c>
      <c r="N5" s="2"/>
      <c r="O5" s="2"/>
      <c r="P5" s="2"/>
      <c r="Q5" s="2"/>
      <c r="R5" s="2"/>
    </row>
    <row r="6" spans="2:18" ht="15">
      <c r="B6" s="6" t="s">
        <v>70</v>
      </c>
      <c r="C6" s="12">
        <v>0</v>
      </c>
      <c r="D6" s="12">
        <v>72</v>
      </c>
      <c r="E6" s="12">
        <v>72</v>
      </c>
      <c r="F6" s="12">
        <v>68</v>
      </c>
      <c r="G6" s="12"/>
      <c r="H6" s="12">
        <f>E6+F6-D6</f>
        <v>68</v>
      </c>
      <c r="I6" s="12"/>
      <c r="J6" s="12">
        <v>460</v>
      </c>
      <c r="K6" s="12">
        <f t="shared" si="0"/>
        <v>473.8</v>
      </c>
      <c r="L6" s="12">
        <f t="shared" si="0"/>
        <v>488.014</v>
      </c>
      <c r="M6" s="12">
        <f t="shared" si="0"/>
        <v>502.65442</v>
      </c>
      <c r="N6" s="2"/>
      <c r="O6" s="2"/>
      <c r="P6" s="2"/>
      <c r="Q6" s="2"/>
      <c r="R6" s="2"/>
    </row>
    <row r="7" spans="2:18" ht="15">
      <c r="B7" s="6" t="s">
        <v>61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6" t="s">
        <v>50</v>
      </c>
      <c r="C8" s="12">
        <v>2000</v>
      </c>
      <c r="D8" s="12">
        <v>2000</v>
      </c>
      <c r="E8" s="12">
        <v>1957</v>
      </c>
      <c r="F8" s="12"/>
      <c r="G8" s="12"/>
      <c r="H8" s="12">
        <f>E8+F8-D8</f>
        <v>-43</v>
      </c>
      <c r="I8" s="12"/>
      <c r="J8" s="12">
        <v>1957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71</v>
      </c>
      <c r="C9" s="9">
        <f aca="true" t="shared" si="1" ref="C9:M9">SUM(C5:C8)</f>
        <v>3000</v>
      </c>
      <c r="D9" s="9">
        <f t="shared" si="1"/>
        <v>2472</v>
      </c>
      <c r="E9" s="9">
        <f t="shared" si="1"/>
        <v>2029</v>
      </c>
      <c r="F9" s="9">
        <f t="shared" si="1"/>
        <v>68</v>
      </c>
      <c r="G9" s="9">
        <f t="shared" si="1"/>
        <v>0</v>
      </c>
      <c r="H9" s="9">
        <f t="shared" si="1"/>
        <v>-375</v>
      </c>
      <c r="I9" s="9">
        <f t="shared" si="1"/>
        <v>0</v>
      </c>
      <c r="J9" s="9">
        <f>SUM(J5:J8)</f>
        <v>3317</v>
      </c>
      <c r="K9" s="9">
        <f t="shared" si="1"/>
        <v>1400.8</v>
      </c>
      <c r="L9" s="9">
        <f t="shared" si="1"/>
        <v>1442.824</v>
      </c>
      <c r="M9" s="9">
        <f t="shared" si="1"/>
        <v>1486.1087200000002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115</v>
      </c>
      <c r="C11" s="9">
        <v>18800</v>
      </c>
      <c r="D11" s="9">
        <f>E11+F11</f>
        <v>10070.578734858682</v>
      </c>
      <c r="E11" s="9">
        <v>6680</v>
      </c>
      <c r="F11" s="9">
        <v>3390.578734858681</v>
      </c>
      <c r="G11" s="9">
        <f>J11-F11-E11</f>
        <v>8729.421265141318</v>
      </c>
      <c r="H11" s="9">
        <f>E11+F11-D11</f>
        <v>0</v>
      </c>
      <c r="I11" s="9">
        <v>1335.9892328398385</v>
      </c>
      <c r="J11" s="9">
        <v>18800</v>
      </c>
      <c r="K11" s="9">
        <f>J11*1.035</f>
        <v>19458</v>
      </c>
      <c r="L11" s="9">
        <f>K11*1.03</f>
        <v>20041.74</v>
      </c>
      <c r="M11" s="9">
        <f>L11*1.03</f>
        <v>20642.9922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62</v>
      </c>
      <c r="C13" s="9">
        <f aca="true" t="shared" si="2" ref="C13:M13">C11+C9</f>
        <v>21800</v>
      </c>
      <c r="D13" s="9">
        <f t="shared" si="2"/>
        <v>12542.578734858682</v>
      </c>
      <c r="E13" s="9">
        <f t="shared" si="2"/>
        <v>8709</v>
      </c>
      <c r="F13" s="9">
        <f t="shared" si="2"/>
        <v>3458.578734858681</v>
      </c>
      <c r="G13" s="9">
        <f t="shared" si="2"/>
        <v>8729.421265141318</v>
      </c>
      <c r="H13" s="9">
        <f t="shared" si="2"/>
        <v>-375</v>
      </c>
      <c r="I13" s="9">
        <f t="shared" si="2"/>
        <v>1335.9892328398385</v>
      </c>
      <c r="J13" s="9">
        <f>J11+J9</f>
        <v>22117</v>
      </c>
      <c r="K13" s="9">
        <f t="shared" si="2"/>
        <v>20858.8</v>
      </c>
      <c r="L13" s="9">
        <f t="shared" si="2"/>
        <v>21484.564000000002</v>
      </c>
      <c r="M13" s="9">
        <f t="shared" si="2"/>
        <v>22129.10092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3" ref="C17:M17">C13+C15</f>
        <v>21800</v>
      </c>
      <c r="D17" s="9">
        <f t="shared" si="3"/>
        <v>12542.578734858682</v>
      </c>
      <c r="E17" s="9">
        <f t="shared" si="3"/>
        <v>8709</v>
      </c>
      <c r="F17" s="9">
        <f t="shared" si="3"/>
        <v>3458.578734858681</v>
      </c>
      <c r="G17" s="9">
        <f t="shared" si="3"/>
        <v>8729.421265141318</v>
      </c>
      <c r="H17" s="9">
        <f t="shared" si="3"/>
        <v>-375</v>
      </c>
      <c r="I17" s="9">
        <f t="shared" si="3"/>
        <v>1335.9892328398385</v>
      </c>
      <c r="J17" s="9">
        <f>J13+J15</f>
        <v>22117</v>
      </c>
      <c r="K17" s="9">
        <f t="shared" si="3"/>
        <v>20858.8</v>
      </c>
      <c r="L17" s="9">
        <f t="shared" si="3"/>
        <v>21484.564000000002</v>
      </c>
      <c r="M17" s="9">
        <f t="shared" si="3"/>
        <v>22129.10092</v>
      </c>
      <c r="N17" s="2"/>
      <c r="O17" s="2"/>
      <c r="P17" s="2"/>
      <c r="Q17" s="2"/>
      <c r="R17" s="2"/>
    </row>
    <row r="19" ht="15">
      <c r="B19" s="1"/>
    </row>
    <row r="22" ht="15">
      <c r="B22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109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">
        <v>211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Museum!C15</f>
        <v>1500</v>
      </c>
      <c r="D5" s="9">
        <f>Museum!D15</f>
        <v>106</v>
      </c>
      <c r="E5" s="9">
        <f>Museum!E15</f>
        <v>181</v>
      </c>
      <c r="F5" s="9">
        <f>Museum!F15</f>
        <v>0</v>
      </c>
      <c r="G5" s="9">
        <f>Museum!G15</f>
        <v>0</v>
      </c>
      <c r="H5" s="9">
        <f>Museum!H15</f>
        <v>75</v>
      </c>
      <c r="I5" s="9">
        <f>Museum!I15</f>
        <v>0</v>
      </c>
      <c r="J5" s="9">
        <f>Museum!J15</f>
        <v>3950</v>
      </c>
      <c r="K5" s="9">
        <f>Museum!K15</f>
        <v>29996.5</v>
      </c>
      <c r="L5" s="9">
        <f>Museum!L15</f>
        <v>2044.395</v>
      </c>
      <c r="M5" s="9">
        <f>Museum!M15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Site'!C13</f>
        <v>-78700</v>
      </c>
      <c r="D6" s="9">
        <f>'Caravan Site'!D13</f>
        <v>0</v>
      </c>
      <c r="E6" s="9">
        <f>'Caravan Site'!E13</f>
        <v>0</v>
      </c>
      <c r="F6" s="9">
        <f>'Caravan Site'!F13</f>
        <v>0</v>
      </c>
      <c r="G6" s="9">
        <f>'Caravan Site'!G13</f>
        <v>0</v>
      </c>
      <c r="H6" s="9">
        <f>'Caravan Site'!H13</f>
        <v>0</v>
      </c>
      <c r="I6" s="9">
        <f>'Caravan Site'!I13</f>
        <v>0</v>
      </c>
      <c r="J6" s="9">
        <f>'Caravan Site'!J13</f>
        <v>-78700</v>
      </c>
      <c r="K6" s="9">
        <f>'Caravan Site'!K13</f>
        <v>-78700</v>
      </c>
      <c r="L6" s="9">
        <f>'Caravan Site'!L13</f>
        <v>-78700</v>
      </c>
      <c r="M6" s="9">
        <f>'Caravan Site'!M13</f>
        <v>-78700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CCTV!C17</f>
        <v>292400</v>
      </c>
      <c r="D7" s="9">
        <f>CCTV!D17</f>
        <v>138405.84791386273</v>
      </c>
      <c r="E7" s="9">
        <f>CCTV!E17</f>
        <v>90386</v>
      </c>
      <c r="F7" s="9">
        <f>CCTV!F17</f>
        <v>45910.847913862715</v>
      </c>
      <c r="G7" s="9">
        <f>CCTV!G17</f>
        <v>117894.15208613727</v>
      </c>
      <c r="H7" s="9">
        <f>CCTV!H17</f>
        <v>-2109</v>
      </c>
      <c r="I7" s="9">
        <f>CCTV!I17</f>
        <v>18042.960969044412</v>
      </c>
      <c r="J7" s="9">
        <f>CCTV!J17</f>
        <v>255245</v>
      </c>
      <c r="K7" s="9">
        <f>CCTV!K17</f>
        <v>264171.85</v>
      </c>
      <c r="L7" s="9">
        <f>CCTV!L17</f>
        <v>272097.0055</v>
      </c>
      <c r="M7" s="9">
        <f>CCTV!M17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Events!C17</f>
        <v>-2400</v>
      </c>
      <c r="D8" s="9">
        <f>Events!D17</f>
        <v>120</v>
      </c>
      <c r="E8" s="9">
        <f>Events!E17</f>
        <v>120</v>
      </c>
      <c r="F8" s="9">
        <f>Events!F17</f>
        <v>0</v>
      </c>
      <c r="G8" s="9">
        <f>Events!G17</f>
        <v>0</v>
      </c>
      <c r="H8" s="9">
        <f>Events!H17</f>
        <v>0</v>
      </c>
      <c r="I8" s="9">
        <f>Events!I17</f>
        <v>0</v>
      </c>
      <c r="J8" s="9">
        <f>Events!J17</f>
        <v>-2400</v>
      </c>
      <c r="K8" s="9">
        <f>Events!K17</f>
        <v>47633</v>
      </c>
      <c r="L8" s="9">
        <f>Events!L17</f>
        <v>47666.99</v>
      </c>
      <c r="M8" s="9">
        <f>Events!M17</f>
        <v>47701.9997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Theatre'!C20</f>
        <v>159100</v>
      </c>
      <c r="D9" s="9">
        <f>'Marina Theatre'!D20</f>
        <v>154207</v>
      </c>
      <c r="E9" s="9">
        <f>'Marina Theatre'!E20</f>
        <v>207</v>
      </c>
      <c r="F9" s="9">
        <f>'Marina Theatre'!F20</f>
        <v>150000</v>
      </c>
      <c r="G9" s="9">
        <f>'Marina Theatre'!G20</f>
        <v>0</v>
      </c>
      <c r="H9" s="9">
        <f>'Marina Theatre'!H20</f>
        <v>-4000</v>
      </c>
      <c r="I9" s="9">
        <f>'Marina Theatre'!I20</f>
        <v>0</v>
      </c>
      <c r="J9" s="9">
        <f>'Marina Theatre'!J20</f>
        <v>170100</v>
      </c>
      <c r="K9" s="9">
        <f>'Marina Theatre'!K20</f>
        <v>160000</v>
      </c>
      <c r="L9" s="9">
        <f>'Marina Theatre'!L20</f>
        <v>160000</v>
      </c>
      <c r="M9" s="9">
        <f>'Marina Theatre'!M20</f>
        <v>160000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Spaces'!C21</f>
        <v>7200</v>
      </c>
      <c r="D10" s="9">
        <f>'Open Spaces'!D21</f>
        <v>4274.697173620458</v>
      </c>
      <c r="E10" s="9">
        <f>'Open Spaces'!E21</f>
        <v>3138.4925975773895</v>
      </c>
      <c r="F10" s="9">
        <f>'Open Spaces'!F21</f>
        <v>1136.2045760430685</v>
      </c>
      <c r="G10" s="9">
        <f>'Open Spaces'!G21</f>
        <v>2925.3028263795422</v>
      </c>
      <c r="H10" s="9">
        <f>'Open Spaces'!H21</f>
        <v>0</v>
      </c>
      <c r="I10" s="9">
        <f>'Open Spaces'!I21</f>
        <v>447.69851951547776</v>
      </c>
      <c r="J10" s="9">
        <f>'Open Spaces'!J21</f>
        <v>6675.3</v>
      </c>
      <c r="K10" s="9">
        <f>'Open Spaces'!K21</f>
        <v>81895.8</v>
      </c>
      <c r="L10" s="9">
        <f>'Open Spaces'!L21</f>
        <v>82091.41500000002</v>
      </c>
      <c r="M10" s="9">
        <f>'Open Spaces'!M21</f>
        <v>82292.89845000001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Nest'!C23</f>
        <v>100700</v>
      </c>
      <c r="D11" s="9">
        <f>'Sparrows Nest'!D23</f>
        <v>34603.562584118445</v>
      </c>
      <c r="E11" s="9">
        <f>'Sparrows Nest'!E23</f>
        <v>30802.802153432036</v>
      </c>
      <c r="F11" s="9">
        <f>'Sparrows Nest'!F23</f>
        <v>21670.37685060565</v>
      </c>
      <c r="G11" s="9">
        <f>'Sparrows Nest'!G23</f>
        <v>18530.820995962316</v>
      </c>
      <c r="H11" s="9">
        <f>'Sparrows Nest'!H23</f>
        <v>17869.616419919243</v>
      </c>
      <c r="I11" s="9">
        <f>'Sparrows Nest'!I23</f>
        <v>8605.760430686407</v>
      </c>
      <c r="J11" s="9">
        <f>'Sparrows Nest'!J23</f>
        <v>98945</v>
      </c>
      <c r="K11" s="9">
        <f>'Sparrows Nest'!K23</f>
        <v>108947.6</v>
      </c>
      <c r="L11" s="9">
        <f>'Sparrows Nest'!L23</f>
        <v>111802.628</v>
      </c>
      <c r="M11" s="9">
        <f>'Sparrows Nest'!M23</f>
        <v>114752.40684000001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Vue'!C17</f>
        <v>14600</v>
      </c>
      <c r="D12" s="9">
        <f>'Belle Vue'!D17</f>
        <v>8220.598923283984</v>
      </c>
      <c r="E12" s="9">
        <f>'Belle Vue'!E17</f>
        <v>4444</v>
      </c>
      <c r="F12" s="9">
        <f>'Belle Vue'!F17</f>
        <v>2885.598923283984</v>
      </c>
      <c r="G12" s="9">
        <f>'Belle Vue'!G17</f>
        <v>7429.401076716016</v>
      </c>
      <c r="H12" s="9">
        <f>'Belle Vue'!H17</f>
        <v>-891</v>
      </c>
      <c r="I12" s="9">
        <f>'Belle Vue'!I17</f>
        <v>1137.0121130551818</v>
      </c>
      <c r="J12" s="9">
        <f>'Belle Vue'!J17</f>
        <v>11830</v>
      </c>
      <c r="K12" s="9">
        <f>'Belle Vue'!K17</f>
        <v>13193</v>
      </c>
      <c r="L12" s="9">
        <f>'Belle Vue'!L17</f>
        <v>13692.89</v>
      </c>
      <c r="M12" s="9">
        <f>'Belle Vue'!M17</f>
        <v>14207.776700000002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Gdns'!C20</f>
        <v>83300</v>
      </c>
      <c r="D13" s="9">
        <f>'Kensington Gdns'!D20</f>
        <v>43428.10901749664</v>
      </c>
      <c r="E13" s="9">
        <f>'Kensington Gdns'!E20</f>
        <v>26237</v>
      </c>
      <c r="F13" s="9">
        <f>'Kensington Gdns'!F20</f>
        <v>13772.109017496638</v>
      </c>
      <c r="G13" s="9">
        <f>'Kensington Gdns'!G20</f>
        <v>41278.89098250336</v>
      </c>
      <c r="H13" s="9">
        <f>'Kensington Gdns'!H20</f>
        <v>-3419</v>
      </c>
      <c r="I13" s="9">
        <f>'Kensington Gdns'!I20</f>
        <v>6317.523553162853</v>
      </c>
      <c r="J13" s="9">
        <f>'Kensington Gdns'!J20</f>
        <v>83260</v>
      </c>
      <c r="K13" s="9">
        <f>'Kensington Gdns'!K20</f>
        <v>95051.65</v>
      </c>
      <c r="L13" s="9">
        <f>'Kensington Gdns'!L20</f>
        <v>97997.5495</v>
      </c>
      <c r="M13" s="9">
        <f>'Kensington Gdns'!M20</f>
        <v>101031.825985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Areas'!C33</f>
        <v>39300</v>
      </c>
      <c r="D14" s="9">
        <f>'Play Areas'!D33</f>
        <v>18505.518169582767</v>
      </c>
      <c r="E14" s="9">
        <f>'Play Areas'!E33</f>
        <v>12009.690444145352</v>
      </c>
      <c r="F14" s="9">
        <f>'Play Areas'!F33</f>
        <v>6095.827725437418</v>
      </c>
      <c r="G14" s="9">
        <f>'Play Areas'!G33</f>
        <v>0</v>
      </c>
      <c r="H14" s="9">
        <f>'Play Areas'!H33</f>
        <v>-400</v>
      </c>
      <c r="I14" s="9">
        <f>'Play Areas'!I33</f>
        <v>0</v>
      </c>
      <c r="J14" s="9">
        <f>'Play Areas'!J33</f>
        <v>38000</v>
      </c>
      <c r="K14" s="9">
        <f>'Play Areas'!K33</f>
        <v>89309</v>
      </c>
      <c r="L14" s="9">
        <f>'Play Areas'!L33</f>
        <v>90488.27</v>
      </c>
      <c r="M14" s="9">
        <f>'Play Areas'!M33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Oval'!C19</f>
        <v>76000</v>
      </c>
      <c r="D15" s="9">
        <f>'Denes Oval'!D19</f>
        <v>40857.009421265146</v>
      </c>
      <c r="E15" s="9">
        <f>'Denes Oval'!E19</f>
        <v>29719</v>
      </c>
      <c r="F15" s="9">
        <f>'Denes Oval'!F19</f>
        <v>14280.009421265142</v>
      </c>
      <c r="G15" s="9">
        <f>'Denes Oval'!G19</f>
        <v>38492.990578734854</v>
      </c>
      <c r="H15" s="9">
        <f>'Denes Oval'!H19</f>
        <v>3142</v>
      </c>
      <c r="I15" s="9">
        <f>'Denes Oval'!I19</f>
        <v>5891.144010767159</v>
      </c>
      <c r="J15" s="9">
        <f>'Denes Oval'!J19</f>
        <v>76095</v>
      </c>
      <c r="K15" s="9">
        <f>'Denes Oval'!K19</f>
        <v>88989.35</v>
      </c>
      <c r="L15" s="9">
        <f>'Denes Oval'!L19</f>
        <v>91659.0305</v>
      </c>
      <c r="M15" s="9">
        <f>'Denes Oval'!M19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Park'!C18</f>
        <v>87300</v>
      </c>
      <c r="D16" s="9">
        <f>'Normanston Park'!D18</f>
        <v>45610.948855989234</v>
      </c>
      <c r="E16" s="9">
        <f>'Normanston Park'!E18</f>
        <v>26526</v>
      </c>
      <c r="F16" s="9">
        <f>'Normanston Park'!F18</f>
        <v>15509.948855989234</v>
      </c>
      <c r="G16" s="9">
        <f>'Normanston Park'!G18</f>
        <v>42394.051144010766</v>
      </c>
      <c r="H16" s="9">
        <f>'Normanston Park'!H18</f>
        <v>-3575</v>
      </c>
      <c r="I16" s="9">
        <f>'Normanston Park'!I18</f>
        <v>6488.075370121131</v>
      </c>
      <c r="J16" s="9">
        <f>'Normanston Park'!J18</f>
        <v>85350</v>
      </c>
      <c r="K16" s="9">
        <f>'Normanston Park'!K18</f>
        <v>93292.49999999999</v>
      </c>
      <c r="L16" s="9">
        <f>'Normanston Park'!L18</f>
        <v>96278.775</v>
      </c>
      <c r="M16" s="9">
        <f>'Normanston Park'!M18</f>
        <v>99354.63824999999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PC'!C16</f>
        <v>7800</v>
      </c>
      <c r="D17" s="9">
        <f>'Pakefield St PC'!D16</f>
        <v>4507.029609690444</v>
      </c>
      <c r="E17" s="9">
        <f>'Pakefield St PC'!E16</f>
        <v>3464</v>
      </c>
      <c r="F17" s="9">
        <f>'Pakefield St PC'!F16</f>
        <v>1207.029609690444</v>
      </c>
      <c r="G17" s="9">
        <f>'Pakefield St PC'!G16</f>
        <v>2692.970390309556</v>
      </c>
      <c r="H17" s="9">
        <f>'Pakefield St PC'!H16</f>
        <v>164</v>
      </c>
      <c r="I17" s="9">
        <f>'Pakefield St PC'!I16</f>
        <v>412.16689098250333</v>
      </c>
      <c r="J17" s="9">
        <f>'Pakefield St PC'!J16</f>
        <v>7942</v>
      </c>
      <c r="K17" s="9">
        <f>'Pakefield St PC'!K16</f>
        <v>7032.999999999999</v>
      </c>
      <c r="L17" s="9">
        <f>'Pakefield St PC'!L16</f>
        <v>7243.99</v>
      </c>
      <c r="M17" s="9">
        <f>'Pakefield St PC'!M16</f>
        <v>7461.309699999999</v>
      </c>
      <c r="N17" s="2"/>
      <c r="O17" s="2"/>
      <c r="P17" s="2"/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PC'!C15</f>
        <v>9500</v>
      </c>
      <c r="D18" s="9">
        <f>'The Triangle PC'!D15</f>
        <v>5235.309555854643</v>
      </c>
      <c r="E18" s="9">
        <f>'The Triangle PC'!E15</f>
        <v>3440</v>
      </c>
      <c r="F18" s="9">
        <f>'The Triangle PC'!F15</f>
        <v>1190.3095558546433</v>
      </c>
      <c r="G18" s="9">
        <f>'The Triangle PC'!G15</f>
        <v>3064.690444145357</v>
      </c>
      <c r="H18" s="9">
        <f>'The Triangle PC'!H15</f>
        <v>-605</v>
      </c>
      <c r="I18" s="9">
        <f>'The Triangle PC'!I15</f>
        <v>469.0174966352624</v>
      </c>
      <c r="J18" s="9">
        <f>'The Triangle PC'!J15</f>
        <v>9495</v>
      </c>
      <c r="K18" s="9">
        <f>'The Triangle PC'!K15</f>
        <v>8685</v>
      </c>
      <c r="L18" s="9">
        <f>'The Triangle PC'!L15</f>
        <v>8945.55</v>
      </c>
      <c r="M18" s="9">
        <f>'The Triangle PC'!M15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PC'!C17</f>
        <v>21800</v>
      </c>
      <c r="D19" s="9">
        <f>'Kn Gdns PC'!D17</f>
        <v>12542.578734858682</v>
      </c>
      <c r="E19" s="9">
        <f>'Kn Gdns PC'!E17</f>
        <v>8709</v>
      </c>
      <c r="F19" s="9">
        <f>'Kn Gdns PC'!F17</f>
        <v>3458.578734858681</v>
      </c>
      <c r="G19" s="9">
        <f>'Kn Gdns PC'!G17</f>
        <v>8729.421265141318</v>
      </c>
      <c r="H19" s="9">
        <f>'Kn Gdns PC'!H17</f>
        <v>-375</v>
      </c>
      <c r="I19" s="9">
        <f>'Kn Gdns PC'!I17</f>
        <v>1335.9892328398385</v>
      </c>
      <c r="J19" s="9">
        <f>'Kn Gdns PC'!J17</f>
        <v>22117</v>
      </c>
      <c r="K19" s="9">
        <f>'Kn Gdns PC'!K17</f>
        <v>20858.8</v>
      </c>
      <c r="L19" s="9">
        <f>'Kn Gdns PC'!L17</f>
        <v>21484.564000000002</v>
      </c>
      <c r="M19" s="9">
        <f>'Kn Gdns PC'!M17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PC'!C16</f>
        <v>6200</v>
      </c>
      <c r="D20" s="9">
        <f>'Kirkley Cliff Rd PC'!D16</f>
        <v>3321.1695827725434</v>
      </c>
      <c r="E20" s="9">
        <f>'Kirkley Cliff Rd PC'!E16</f>
        <v>2203</v>
      </c>
      <c r="F20" s="9">
        <f>'Kirkley Cliff Rd PC'!F16</f>
        <v>1118.1695827725437</v>
      </c>
      <c r="G20" s="9">
        <f>'Kirkley Cliff Rd PC'!G16</f>
        <v>2878.8304172274566</v>
      </c>
      <c r="H20" s="9">
        <f>'Kirkley Cliff Rd PC'!H16</f>
        <v>0</v>
      </c>
      <c r="I20" s="9">
        <f>'Kirkley Cliff Rd PC'!I16</f>
        <v>440.592193808883</v>
      </c>
      <c r="J20" s="9">
        <f>'Kirkley Cliff Rd PC'!J16</f>
        <v>6200</v>
      </c>
      <c r="K20" s="9">
        <f>'Kirkley Cliff Rd PC'!K16</f>
        <v>6416.999999999999</v>
      </c>
      <c r="L20" s="9">
        <f>'Kirkley Cliff Rd PC'!L16</f>
        <v>6609.509999999999</v>
      </c>
      <c r="M20" s="9">
        <f>'Kirkley Cliff Rd PC'!M16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PC'!C16</f>
        <v>6500</v>
      </c>
      <c r="D21" s="9">
        <f>'Low Cemetery PC'!D16</f>
        <v>3417.029609690444</v>
      </c>
      <c r="E21" s="9">
        <f>'Low Cemetery PC'!E16</f>
        <v>2187</v>
      </c>
      <c r="F21" s="9">
        <f>'Low Cemetery PC'!F16</f>
        <v>1130.029609690444</v>
      </c>
      <c r="G21" s="9">
        <f>'Low Cemetery PC'!G16</f>
        <v>2692.970390309556</v>
      </c>
      <c r="H21" s="9">
        <f>'Low Cemetery PC'!H16</f>
        <v>-100</v>
      </c>
      <c r="I21" s="9">
        <f>'Low Cemetery PC'!I16</f>
        <v>412.16689098250333</v>
      </c>
      <c r="J21" s="9">
        <f>'Low Cemetery PC'!J16</f>
        <v>6480</v>
      </c>
      <c r="K21" s="9">
        <f>'Low Cemetery PC'!K16</f>
        <v>6703.4</v>
      </c>
      <c r="L21" s="9">
        <f>'Low Cemetery PC'!L16</f>
        <v>6904.5019999999995</v>
      </c>
      <c r="M21" s="9">
        <f>'Low Cemetery PC'!M16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PC'!C17</f>
        <v>0</v>
      </c>
      <c r="D22" s="9">
        <f>'Fen Park PC'!D17</f>
        <v>0</v>
      </c>
      <c r="E22" s="9">
        <f>'Fen Park PC'!E17</f>
        <v>0</v>
      </c>
      <c r="F22" s="9">
        <f>'Fen Park PC'!F17</f>
        <v>0</v>
      </c>
      <c r="G22" s="9">
        <f>'Fen Park PC'!G17</f>
        <v>0</v>
      </c>
      <c r="H22" s="9">
        <f>'Fen Park PC'!H17</f>
        <v>0</v>
      </c>
      <c r="I22" s="9">
        <f>'Fen Park PC'!I17</f>
        <v>0</v>
      </c>
      <c r="J22" s="9">
        <f>'Fen Park PC'!J17</f>
        <v>0</v>
      </c>
      <c r="K22" s="9">
        <f>'Fen Park PC'!K17</f>
        <v>7500</v>
      </c>
      <c r="L22" s="9">
        <f>'Fen Park PC'!L17</f>
        <v>7500</v>
      </c>
      <c r="M22" s="9">
        <f>'Fen Park PC'!M17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Miscellaneous!C26</f>
        <v>18800</v>
      </c>
      <c r="D23" s="9">
        <f>Miscellaneous!D26</f>
        <v>1749.7308209959624</v>
      </c>
      <c r="E23" s="9">
        <f>Miscellaneous!E26</f>
        <v>689.7711978465679</v>
      </c>
      <c r="F23" s="9">
        <f>Miscellaneous!F26</f>
        <v>1009.9596231493944</v>
      </c>
      <c r="G23" s="9">
        <f>Miscellaneous!G26</f>
        <v>2600.2691790040376</v>
      </c>
      <c r="H23" s="9">
        <f>Miscellaneous!H26</f>
        <v>-50</v>
      </c>
      <c r="I23" s="9">
        <f>Miscellaneous!I26</f>
        <v>397.9542395693136</v>
      </c>
      <c r="J23" s="9">
        <f>Miscellaneous!J26</f>
        <v>21250</v>
      </c>
      <c r="K23" s="9">
        <f>Miscellaneous!K26</f>
        <v>24018</v>
      </c>
      <c r="L23" s="9">
        <f>Miscellaneous!L26</f>
        <v>24191.04</v>
      </c>
      <c r="M23" s="9">
        <f>Miscellaneous!M26</f>
        <v>24369.2712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Offices!C29</f>
        <v>86120</v>
      </c>
      <c r="D24" s="9">
        <f>Offices!D29</f>
        <v>16430</v>
      </c>
      <c r="E24" s="9">
        <f>Offices!E29</f>
        <v>2519</v>
      </c>
      <c r="F24" s="9">
        <f>Offices!F29</f>
        <v>2324</v>
      </c>
      <c r="G24" s="9">
        <f>Offices!G29</f>
        <v>0</v>
      </c>
      <c r="H24" s="9">
        <f>Offices!H29</f>
        <v>-11587</v>
      </c>
      <c r="I24" s="9">
        <f>Offices!I29</f>
        <v>0</v>
      </c>
      <c r="J24" s="9">
        <f>Offices!J29</f>
        <v>18330</v>
      </c>
      <c r="K24" s="9">
        <f>Offices!K29</f>
        <v>62875.9</v>
      </c>
      <c r="L24" s="9">
        <f>Offices!L29</f>
        <v>64432.176999999996</v>
      </c>
      <c r="M24" s="9">
        <f>Offices!M29</f>
        <v>66035.75231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Administration!C47</f>
        <v>455260</v>
      </c>
      <c r="D25" s="9" t="e">
        <f>Administration!D47</f>
        <v>#REF!</v>
      </c>
      <c r="E25" s="9" t="e">
        <f>Administration!E47</f>
        <v>#REF!</v>
      </c>
      <c r="F25" s="9" t="e">
        <f>Administration!F47</f>
        <v>#REF!</v>
      </c>
      <c r="G25" s="9" t="e">
        <f>Administration!G47</f>
        <v>#REF!</v>
      </c>
      <c r="H25" s="9" t="e">
        <f>Administration!H47</f>
        <v>#REF!</v>
      </c>
      <c r="I25" s="9" t="e">
        <f>Administration!I47</f>
        <v>#REF!</v>
      </c>
      <c r="J25" s="9">
        <f>Administration!J47</f>
        <v>254218.521</v>
      </c>
      <c r="K25" s="9">
        <f>Administration!K47</f>
        <v>470976.331</v>
      </c>
      <c r="L25" s="9">
        <f>Administration!L47</f>
        <v>492391.17562000005</v>
      </c>
      <c r="M25" s="9">
        <f>Administration!M47</f>
        <v>498946.4766724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110</v>
      </c>
      <c r="C27" s="9">
        <f>SUM(C4:C26)</f>
        <v>1392280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>
        <f>SUM(J4:J26)</f>
        <v>1094382.821</v>
      </c>
      <c r="K27" s="9">
        <f t="shared" si="0"/>
        <v>1608847.681</v>
      </c>
      <c r="L27" s="9">
        <f t="shared" si="0"/>
        <v>1626821.4571200002</v>
      </c>
      <c r="M27" s="9">
        <f t="shared" si="0"/>
        <v>1658682.1676174002</v>
      </c>
      <c r="N27" s="2"/>
      <c r="O27" s="2"/>
      <c r="P27" s="2"/>
      <c r="Q27" s="2"/>
      <c r="R27" s="2"/>
    </row>
    <row r="28" ht="15">
      <c r="B28" s="1"/>
    </row>
    <row r="31" ht="15">
      <c r="D31" s="3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18" sqref="B18:L2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96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/>
      <c r="D5" s="9"/>
      <c r="E5" s="9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72</v>
      </c>
      <c r="C6" s="12"/>
      <c r="D6" s="9"/>
      <c r="E6" s="9"/>
      <c r="F6" s="9"/>
      <c r="G6" s="9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61</v>
      </c>
      <c r="C7" s="12"/>
      <c r="D7" s="9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0" ref="C8:M8">SUM(C5:C7)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SUM(J5:J7)</f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6200</v>
      </c>
      <c r="D10" s="9">
        <f>E10+F10</f>
        <v>3321.1695827725434</v>
      </c>
      <c r="E10" s="9">
        <v>2203</v>
      </c>
      <c r="F10" s="9">
        <v>1118.1695827725437</v>
      </c>
      <c r="G10" s="9">
        <f>J10-F10-E10</f>
        <v>2878.8304172274566</v>
      </c>
      <c r="H10" s="9">
        <f>E10+F10-D10</f>
        <v>0</v>
      </c>
      <c r="I10" s="9">
        <v>440.592193808883</v>
      </c>
      <c r="J10" s="9">
        <v>6200</v>
      </c>
      <c r="K10" s="9">
        <f>J10*1.035</f>
        <v>6416.999999999999</v>
      </c>
      <c r="L10" s="9">
        <f>K10*1.03</f>
        <v>6609.509999999999</v>
      </c>
      <c r="M10" s="9">
        <f>L10*1.03</f>
        <v>6807.7953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1" ref="C12:M12">C10+C8</f>
        <v>6200</v>
      </c>
      <c r="D12" s="9">
        <f t="shared" si="1"/>
        <v>3321.1695827725434</v>
      </c>
      <c r="E12" s="9">
        <f t="shared" si="1"/>
        <v>2203</v>
      </c>
      <c r="F12" s="9">
        <f t="shared" si="1"/>
        <v>1118.1695827725437</v>
      </c>
      <c r="G12" s="9">
        <f t="shared" si="1"/>
        <v>2878.8304172274566</v>
      </c>
      <c r="H12" s="9">
        <f t="shared" si="1"/>
        <v>0</v>
      </c>
      <c r="I12" s="9">
        <f t="shared" si="1"/>
        <v>440.592193808883</v>
      </c>
      <c r="J12" s="9">
        <f>J10+J8</f>
        <v>6200</v>
      </c>
      <c r="K12" s="9">
        <f t="shared" si="1"/>
        <v>6416.999999999999</v>
      </c>
      <c r="L12" s="9">
        <f t="shared" si="1"/>
        <v>6609.509999999999</v>
      </c>
      <c r="M12" s="9">
        <f t="shared" si="1"/>
        <v>6807.7953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65</v>
      </c>
      <c r="C16" s="9">
        <f aca="true" t="shared" si="2" ref="C16:M16">C12+C14</f>
        <v>6200</v>
      </c>
      <c r="D16" s="9">
        <f t="shared" si="2"/>
        <v>3321.1695827725434</v>
      </c>
      <c r="E16" s="9">
        <f t="shared" si="2"/>
        <v>2203</v>
      </c>
      <c r="F16" s="9">
        <f t="shared" si="2"/>
        <v>1118.1695827725437</v>
      </c>
      <c r="G16" s="9">
        <f t="shared" si="2"/>
        <v>2878.8304172274566</v>
      </c>
      <c r="H16" s="9">
        <f t="shared" si="2"/>
        <v>0</v>
      </c>
      <c r="I16" s="9">
        <f t="shared" si="2"/>
        <v>440.592193808883</v>
      </c>
      <c r="J16" s="9">
        <f>J12+J14</f>
        <v>6200</v>
      </c>
      <c r="K16" s="9">
        <f t="shared" si="2"/>
        <v>6416.999999999999</v>
      </c>
      <c r="L16" s="9">
        <f t="shared" si="2"/>
        <v>6609.509999999999</v>
      </c>
      <c r="M16" s="9">
        <f t="shared" si="2"/>
        <v>6807.7953</v>
      </c>
      <c r="N16" s="2"/>
      <c r="O16" s="2"/>
      <c r="P16" s="2"/>
      <c r="Q16" s="2"/>
      <c r="R16" s="2"/>
    </row>
    <row r="18" ht="15">
      <c r="B18" s="1"/>
    </row>
    <row r="20" ht="15">
      <c r="B2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B8" sqref="B8:C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95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200</v>
      </c>
      <c r="D5" s="12">
        <v>70</v>
      </c>
      <c r="E5" s="12">
        <v>46</v>
      </c>
      <c r="F5" s="12">
        <v>46</v>
      </c>
      <c r="G5" s="12"/>
      <c r="H5" s="12">
        <f>E5+F5-D5</f>
        <v>22</v>
      </c>
      <c r="I5" s="12"/>
      <c r="J5" s="12">
        <v>280</v>
      </c>
      <c r="K5" s="12">
        <f aca="true" t="shared" si="0" ref="K5:M7">J5*1.03</f>
        <v>288.40000000000003</v>
      </c>
      <c r="L5" s="12">
        <f t="shared" si="0"/>
        <v>297.052</v>
      </c>
      <c r="M5" s="12">
        <f t="shared" si="0"/>
        <v>305.96356000000003</v>
      </c>
      <c r="N5" s="2"/>
      <c r="O5" s="2"/>
      <c r="P5" s="2"/>
      <c r="Q5" s="2"/>
      <c r="R5" s="2"/>
    </row>
    <row r="6" spans="2:18" ht="15">
      <c r="B6" s="6" t="s">
        <v>72</v>
      </c>
      <c r="C6" s="12">
        <v>400</v>
      </c>
      <c r="D6" s="12">
        <v>140</v>
      </c>
      <c r="E6" s="12">
        <v>80</v>
      </c>
      <c r="F6" s="12">
        <v>38</v>
      </c>
      <c r="G6" s="9"/>
      <c r="H6" s="12">
        <f>E6+F6-D6</f>
        <v>-22</v>
      </c>
      <c r="I6" s="12"/>
      <c r="J6" s="12">
        <v>400</v>
      </c>
      <c r="K6" s="12">
        <f t="shared" si="0"/>
        <v>412</v>
      </c>
      <c r="L6" s="12">
        <f t="shared" si="0"/>
        <v>424.36</v>
      </c>
      <c r="M6" s="12">
        <f t="shared" si="0"/>
        <v>437.0908</v>
      </c>
      <c r="N6" s="2"/>
      <c r="O6" s="2"/>
      <c r="P6" s="2"/>
      <c r="Q6" s="2"/>
      <c r="R6" s="2"/>
    </row>
    <row r="7" spans="2:18" ht="15">
      <c r="B7" s="6" t="s">
        <v>61</v>
      </c>
      <c r="C7" s="12">
        <v>100</v>
      </c>
      <c r="D7" s="12">
        <v>100</v>
      </c>
      <c r="E7" s="9"/>
      <c r="F7" s="9"/>
      <c r="G7" s="9"/>
      <c r="H7" s="12">
        <f>E7+F7-D7</f>
        <v>-100</v>
      </c>
      <c r="I7" s="12"/>
      <c r="J7" s="12"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2"/>
      <c r="O7" s="2"/>
      <c r="P7" s="2"/>
      <c r="Q7" s="2"/>
      <c r="R7" s="2"/>
    </row>
    <row r="8" spans="2:18" ht="15">
      <c r="B8" s="5" t="s">
        <v>71</v>
      </c>
      <c r="C8" s="9">
        <f aca="true" t="shared" si="1" ref="C8:M8">SUM(C5:C7)</f>
        <v>700</v>
      </c>
      <c r="D8" s="9">
        <f t="shared" si="1"/>
        <v>310</v>
      </c>
      <c r="E8" s="9">
        <f t="shared" si="1"/>
        <v>126</v>
      </c>
      <c r="F8" s="9">
        <f t="shared" si="1"/>
        <v>84</v>
      </c>
      <c r="G8" s="9">
        <f t="shared" si="1"/>
        <v>0</v>
      </c>
      <c r="H8" s="9">
        <f t="shared" si="1"/>
        <v>-100</v>
      </c>
      <c r="I8" s="9">
        <f t="shared" si="1"/>
        <v>0</v>
      </c>
      <c r="J8" s="9">
        <f>SUM(J5:J7)</f>
        <v>680</v>
      </c>
      <c r="K8" s="9">
        <f t="shared" si="1"/>
        <v>700.4000000000001</v>
      </c>
      <c r="L8" s="9">
        <f t="shared" si="1"/>
        <v>721.412</v>
      </c>
      <c r="M8" s="9">
        <f t="shared" si="1"/>
        <v>743.0543600000001</v>
      </c>
      <c r="N8" s="2"/>
      <c r="O8" s="2"/>
      <c r="P8" s="2"/>
      <c r="Q8" s="2"/>
      <c r="R8" s="2"/>
    </row>
    <row r="9" spans="2:18" ht="15">
      <c r="B9" s="7"/>
      <c r="C9" s="12"/>
      <c r="D9" s="9"/>
      <c r="E9" s="9"/>
      <c r="F9" s="9"/>
      <c r="G9" s="9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2:18" ht="15">
      <c r="B10" s="5" t="s">
        <v>115</v>
      </c>
      <c r="C10" s="9">
        <v>5800</v>
      </c>
      <c r="D10" s="9">
        <f>E10+F10</f>
        <v>3107.029609690444</v>
      </c>
      <c r="E10" s="9">
        <v>2061</v>
      </c>
      <c r="F10" s="9">
        <v>1046.029609690444</v>
      </c>
      <c r="G10" s="9">
        <f>J10-F10-E10</f>
        <v>2692.970390309556</v>
      </c>
      <c r="H10" s="9">
        <f>E10+F10-D10</f>
        <v>0</v>
      </c>
      <c r="I10" s="9">
        <v>412.16689098250333</v>
      </c>
      <c r="J10" s="9">
        <v>5800</v>
      </c>
      <c r="K10" s="9">
        <f>J10*1.035</f>
        <v>6002.999999999999</v>
      </c>
      <c r="L10" s="9">
        <f>K10*1.03</f>
        <v>6183.089999999999</v>
      </c>
      <c r="M10" s="9">
        <f>L10*1.03</f>
        <v>6368.582699999999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C10+C8</f>
        <v>6500</v>
      </c>
      <c r="D12" s="9">
        <f t="shared" si="2"/>
        <v>3417.029609690444</v>
      </c>
      <c r="E12" s="9">
        <f t="shared" si="2"/>
        <v>2187</v>
      </c>
      <c r="F12" s="9">
        <f t="shared" si="2"/>
        <v>1130.029609690444</v>
      </c>
      <c r="G12" s="9">
        <f t="shared" si="2"/>
        <v>2692.970390309556</v>
      </c>
      <c r="H12" s="9">
        <f t="shared" si="2"/>
        <v>-100</v>
      </c>
      <c r="I12" s="9">
        <f t="shared" si="2"/>
        <v>412.16689098250333</v>
      </c>
      <c r="J12" s="9">
        <f>J10+J8</f>
        <v>6480</v>
      </c>
      <c r="K12" s="9">
        <f t="shared" si="2"/>
        <v>6703.4</v>
      </c>
      <c r="L12" s="9">
        <f t="shared" si="2"/>
        <v>6904.5019999999995</v>
      </c>
      <c r="M12" s="9">
        <f t="shared" si="2"/>
        <v>7111.637059999999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5" t="s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E14+F14+G14-D14</f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5" t="s">
        <v>65</v>
      </c>
      <c r="C16" s="9">
        <f aca="true" t="shared" si="3" ref="C16:M16">C12+C14</f>
        <v>6500</v>
      </c>
      <c r="D16" s="9">
        <f t="shared" si="3"/>
        <v>3417.029609690444</v>
      </c>
      <c r="E16" s="9">
        <f t="shared" si="3"/>
        <v>2187</v>
      </c>
      <c r="F16" s="9">
        <f t="shared" si="3"/>
        <v>1130.029609690444</v>
      </c>
      <c r="G16" s="9">
        <f t="shared" si="3"/>
        <v>2692.970390309556</v>
      </c>
      <c r="H16" s="9">
        <f t="shared" si="3"/>
        <v>-100</v>
      </c>
      <c r="I16" s="9">
        <f t="shared" si="3"/>
        <v>412.16689098250333</v>
      </c>
      <c r="J16" s="9">
        <f>J12+J14</f>
        <v>6480</v>
      </c>
      <c r="K16" s="9">
        <f t="shared" si="3"/>
        <v>6703.4</v>
      </c>
      <c r="L16" s="9">
        <f t="shared" si="3"/>
        <v>6904.5019999999995</v>
      </c>
      <c r="M16" s="9">
        <f t="shared" si="3"/>
        <v>7111.637059999999</v>
      </c>
      <c r="N16" s="2"/>
      <c r="O16" s="2"/>
      <c r="P16" s="2"/>
      <c r="Q16" s="2"/>
      <c r="R16" s="2"/>
    </row>
    <row r="18" ht="15">
      <c r="B18" s="1"/>
    </row>
    <row r="20" ht="15">
      <c r="B2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2"/>
  <sheetViews>
    <sheetView zoomScalePageLayoutView="0" workbookViewId="0" topLeftCell="A1">
      <selection activeCell="D6" sqref="D6:I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208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/>
      <c r="D5" s="12"/>
      <c r="E5" s="12"/>
      <c r="F5" s="9"/>
      <c r="G5" s="9"/>
      <c r="H5" s="12">
        <f>E5+F5-D5</f>
        <v>0</v>
      </c>
      <c r="I5" s="12"/>
      <c r="J5" s="12"/>
      <c r="K5" s="12"/>
      <c r="L5" s="12"/>
      <c r="M5" s="12"/>
      <c r="N5" s="2"/>
      <c r="O5" s="2"/>
      <c r="P5" s="2"/>
      <c r="Q5" s="2"/>
      <c r="R5" s="2"/>
    </row>
    <row r="6" spans="2:18" ht="15">
      <c r="B6" s="6" t="s">
        <v>70</v>
      </c>
      <c r="C6" s="12"/>
      <c r="D6" s="12"/>
      <c r="E6" s="12"/>
      <c r="F6" s="12"/>
      <c r="G6" s="12"/>
      <c r="H6" s="12">
        <f>E6+F6-D6</f>
        <v>0</v>
      </c>
      <c r="I6" s="12"/>
      <c r="J6" s="12"/>
      <c r="K6" s="12"/>
      <c r="L6" s="12"/>
      <c r="M6" s="12"/>
      <c r="N6" s="2"/>
      <c r="O6" s="2"/>
      <c r="P6" s="2"/>
      <c r="Q6" s="2"/>
      <c r="R6" s="2"/>
    </row>
    <row r="7" spans="2:18" ht="15">
      <c r="B7" s="6" t="s">
        <v>61</v>
      </c>
      <c r="C7" s="12"/>
      <c r="D7" s="12"/>
      <c r="E7" s="9"/>
      <c r="F7" s="9"/>
      <c r="G7" s="9"/>
      <c r="H7" s="12">
        <f>E7+F7-D7</f>
        <v>0</v>
      </c>
      <c r="I7" s="12"/>
      <c r="J7" s="12"/>
      <c r="K7" s="12"/>
      <c r="L7" s="12"/>
      <c r="M7" s="12"/>
      <c r="N7" s="2"/>
      <c r="O7" s="2"/>
      <c r="P7" s="2"/>
      <c r="Q7" s="2"/>
      <c r="R7" s="2"/>
    </row>
    <row r="8" spans="2:18" ht="15">
      <c r="B8" s="6" t="s">
        <v>207</v>
      </c>
      <c r="C8" s="12"/>
      <c r="D8" s="12"/>
      <c r="E8" s="12"/>
      <c r="F8" s="12"/>
      <c r="G8" s="12"/>
      <c r="H8" s="12">
        <f>E8+F8-D8</f>
        <v>0</v>
      </c>
      <c r="I8" s="12"/>
      <c r="J8" s="12"/>
      <c r="K8" s="12">
        <v>7500</v>
      </c>
      <c r="L8" s="12">
        <v>7500</v>
      </c>
      <c r="M8" s="12">
        <v>7500</v>
      </c>
      <c r="N8" s="2"/>
      <c r="O8" s="2"/>
      <c r="P8" s="2"/>
      <c r="Q8" s="2"/>
      <c r="R8" s="2"/>
    </row>
    <row r="9" spans="2:18" ht="15">
      <c r="B9" s="5" t="s">
        <v>71</v>
      </c>
      <c r="C9" s="9">
        <f aca="true" t="shared" si="0" ref="C9:M9">SUM(C5:C8)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7500</v>
      </c>
      <c r="L9" s="9">
        <f t="shared" si="0"/>
        <v>7500</v>
      </c>
      <c r="M9" s="9">
        <f t="shared" si="0"/>
        <v>7500</v>
      </c>
      <c r="N9" s="2"/>
      <c r="O9" s="2"/>
      <c r="P9" s="2"/>
      <c r="Q9" s="2"/>
      <c r="R9" s="2"/>
    </row>
    <row r="10" spans="2:18" ht="15">
      <c r="B10" s="7"/>
      <c r="C10" s="12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2"/>
      <c r="O10" s="2"/>
      <c r="P10" s="2"/>
      <c r="Q10" s="2"/>
      <c r="R10" s="2"/>
    </row>
    <row r="11" spans="2:18" ht="15">
      <c r="B11" s="5" t="s">
        <v>115</v>
      </c>
      <c r="C11" s="9"/>
      <c r="D11" s="9"/>
      <c r="E11" s="9"/>
      <c r="F11" s="9"/>
      <c r="G11" s="9"/>
      <c r="H11" s="9">
        <f>E11+F11-D11</f>
        <v>0</v>
      </c>
      <c r="I11" s="9">
        <v>0</v>
      </c>
      <c r="J11" s="9">
        <v>0</v>
      </c>
      <c r="K11" s="9">
        <v>0</v>
      </c>
      <c r="L11" s="9">
        <f>K11*1.03</f>
        <v>0</v>
      </c>
      <c r="M11" s="9">
        <f>L11*1.03</f>
        <v>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62</v>
      </c>
      <c r="C13" s="9">
        <f aca="true" t="shared" si="1" ref="C13:M13">C11+C9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7500</v>
      </c>
      <c r="L13" s="9">
        <f t="shared" si="1"/>
        <v>7500</v>
      </c>
      <c r="M13" s="9">
        <f t="shared" si="1"/>
        <v>7500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2" ref="C17:M17">C13+C15</f>
        <v>0</v>
      </c>
      <c r="D17" s="9">
        <f t="shared" si="2"/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7500</v>
      </c>
      <c r="L17" s="9">
        <f t="shared" si="2"/>
        <v>7500</v>
      </c>
      <c r="M17" s="9">
        <f t="shared" si="2"/>
        <v>7500</v>
      </c>
      <c r="N17" s="2"/>
      <c r="O17" s="2"/>
      <c r="P17" s="2"/>
      <c r="Q17" s="2"/>
      <c r="R17" s="2"/>
    </row>
    <row r="19" ht="15">
      <c r="B19" s="1"/>
    </row>
    <row r="22" ht="15">
      <c r="B22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7">
      <selection activeCell="S18" sqref="S1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132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20" ht="15">
      <c r="B4" s="2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  <c r="R4" s="1"/>
      <c r="T4" s="1"/>
    </row>
    <row r="5" spans="2:20" ht="15">
      <c r="B5" s="6" t="s">
        <v>195</v>
      </c>
      <c r="C5" s="12">
        <v>0</v>
      </c>
      <c r="D5" s="13"/>
      <c r="E5" s="13"/>
      <c r="F5" s="13"/>
      <c r="G5" s="13"/>
      <c r="H5" s="13"/>
      <c r="I5" s="13"/>
      <c r="J5" s="12">
        <v>0</v>
      </c>
      <c r="K5" s="96">
        <v>1300</v>
      </c>
      <c r="L5" s="96">
        <v>1300</v>
      </c>
      <c r="M5" s="96">
        <v>1300</v>
      </c>
      <c r="N5" s="1"/>
      <c r="O5" s="1"/>
      <c r="P5" s="1"/>
      <c r="Q5" s="1"/>
      <c r="R5" s="1"/>
      <c r="T5" s="1"/>
    </row>
    <row r="6" spans="2:20" ht="15">
      <c r="B6" s="95" t="s">
        <v>196</v>
      </c>
      <c r="C6" s="12">
        <v>0</v>
      </c>
      <c r="D6" s="13"/>
      <c r="E6" s="13"/>
      <c r="F6" s="13"/>
      <c r="G6" s="13"/>
      <c r="H6" s="13"/>
      <c r="I6" s="13"/>
      <c r="J6" s="12">
        <v>0</v>
      </c>
      <c r="K6" s="96">
        <v>1300</v>
      </c>
      <c r="L6" s="96">
        <v>1300</v>
      </c>
      <c r="M6" s="96">
        <v>1300</v>
      </c>
      <c r="N6" s="1"/>
      <c r="O6" s="1"/>
      <c r="P6" s="1"/>
      <c r="Q6" s="1"/>
      <c r="R6" s="1"/>
      <c r="T6" s="1"/>
    </row>
    <row r="7" spans="2:20" ht="15">
      <c r="B7" s="5" t="s">
        <v>71</v>
      </c>
      <c r="C7" s="9">
        <f>SUM(C4:C6)</f>
        <v>0</v>
      </c>
      <c r="D7" s="13"/>
      <c r="E7" s="13"/>
      <c r="F7" s="13"/>
      <c r="G7" s="13"/>
      <c r="H7" s="13"/>
      <c r="I7" s="13"/>
      <c r="J7" s="9">
        <f>SUM(J4:J6)</f>
        <v>0</v>
      </c>
      <c r="K7" s="9">
        <f>SUM(K4:K6)</f>
        <v>2600</v>
      </c>
      <c r="L7" s="9">
        <f>SUM(L4:L6)</f>
        <v>2600</v>
      </c>
      <c r="M7" s="9">
        <f>SUM(M4:M6)</f>
        <v>2600</v>
      </c>
      <c r="N7" s="1"/>
      <c r="O7" s="1"/>
      <c r="P7" s="1"/>
      <c r="Q7" s="1"/>
      <c r="R7" s="1"/>
      <c r="T7" s="1"/>
    </row>
    <row r="8" spans="2:18" ht="15"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"/>
      <c r="O8" s="2"/>
      <c r="P8" s="2"/>
      <c r="Q8" s="2"/>
      <c r="R8" s="2"/>
    </row>
    <row r="9" spans="2:18" ht="15">
      <c r="B9" s="6" t="s">
        <v>37</v>
      </c>
      <c r="C9" s="12">
        <v>4800</v>
      </c>
      <c r="D9" s="12">
        <f>E9+F9</f>
        <v>2571.1978465679676</v>
      </c>
      <c r="E9" s="12">
        <v>1705.5181695827725</v>
      </c>
      <c r="F9" s="12">
        <v>865.6796769851951</v>
      </c>
      <c r="G9" s="12">
        <f>J9-F9-E9</f>
        <v>2228.8021534320324</v>
      </c>
      <c r="H9" s="12">
        <f>E9+F9-D9</f>
        <v>0</v>
      </c>
      <c r="I9" s="12">
        <v>341.10363391655454</v>
      </c>
      <c r="J9" s="12">
        <v>4800</v>
      </c>
      <c r="K9" s="12">
        <f aca="true" t="shared" si="0" ref="K9:M11">J9*1.03</f>
        <v>4944</v>
      </c>
      <c r="L9" s="12">
        <f t="shared" si="0"/>
        <v>5092.32</v>
      </c>
      <c r="M9" s="12">
        <f t="shared" si="0"/>
        <v>5245.0896</v>
      </c>
      <c r="N9" s="2"/>
      <c r="O9" s="2"/>
      <c r="P9" s="2"/>
      <c r="Q9" s="2"/>
      <c r="R9" s="2"/>
    </row>
    <row r="10" spans="2:18" ht="15">
      <c r="B10" s="6" t="s">
        <v>48</v>
      </c>
      <c r="C10" s="12">
        <v>200</v>
      </c>
      <c r="D10" s="12">
        <f>E10+F10</f>
        <v>107.13324360699865</v>
      </c>
      <c r="E10" s="12">
        <v>71.06325706594885</v>
      </c>
      <c r="F10" s="12">
        <v>36.0699865410498</v>
      </c>
      <c r="G10" s="12">
        <f>J10-F10-E10</f>
        <v>92.86675639300137</v>
      </c>
      <c r="H10" s="12">
        <f>E10+F10-D10</f>
        <v>0</v>
      </c>
      <c r="I10" s="12">
        <v>14.21265141318977</v>
      </c>
      <c r="J10" s="12">
        <v>200</v>
      </c>
      <c r="K10" s="12">
        <f t="shared" si="0"/>
        <v>206</v>
      </c>
      <c r="L10" s="12">
        <f t="shared" si="0"/>
        <v>212.18</v>
      </c>
      <c r="M10" s="12">
        <f t="shared" si="0"/>
        <v>218.5454</v>
      </c>
      <c r="N10" s="2"/>
      <c r="O10" s="2"/>
      <c r="P10" s="2"/>
      <c r="Q10" s="2"/>
      <c r="R10" s="2"/>
    </row>
    <row r="11" spans="2:18" ht="15">
      <c r="B11" s="6" t="s">
        <v>35</v>
      </c>
      <c r="C11" s="12">
        <v>600</v>
      </c>
      <c r="D11" s="12">
        <f>E11+F11</f>
        <v>321.39973082099596</v>
      </c>
      <c r="E11" s="12">
        <v>213.18977119784657</v>
      </c>
      <c r="F11" s="12">
        <v>108.20995962314939</v>
      </c>
      <c r="G11" s="12">
        <f>J11-F11-E11</f>
        <v>278.60026917900404</v>
      </c>
      <c r="H11" s="12">
        <f>E11+F11-D11</f>
        <v>0</v>
      </c>
      <c r="I11" s="12">
        <v>42.63795423956932</v>
      </c>
      <c r="J11" s="12">
        <v>600</v>
      </c>
      <c r="K11" s="12">
        <f t="shared" si="0"/>
        <v>618</v>
      </c>
      <c r="L11" s="12">
        <f t="shared" si="0"/>
        <v>636.54</v>
      </c>
      <c r="M11" s="12">
        <f t="shared" si="0"/>
        <v>655.6362</v>
      </c>
      <c r="N11" s="2"/>
      <c r="O11" s="2"/>
      <c r="P11" s="2"/>
      <c r="Q11" s="2"/>
      <c r="R11" s="2"/>
    </row>
    <row r="12" spans="2:18" ht="15">
      <c r="B12" s="5" t="s">
        <v>115</v>
      </c>
      <c r="C12" s="9">
        <f aca="true" t="shared" si="1" ref="C12:M12">SUM(C9:C11)</f>
        <v>5600</v>
      </c>
      <c r="D12" s="9">
        <f t="shared" si="1"/>
        <v>2999.7308209959624</v>
      </c>
      <c r="E12" s="9">
        <f t="shared" si="1"/>
        <v>1989.771197846568</v>
      </c>
      <c r="F12" s="9">
        <f t="shared" si="1"/>
        <v>1009.9596231493944</v>
      </c>
      <c r="G12" s="9">
        <f>SUM(G9:G11)</f>
        <v>2600.2691790040376</v>
      </c>
      <c r="H12" s="9">
        <f>SUM(H9:H11)</f>
        <v>0</v>
      </c>
      <c r="I12" s="9">
        <f>SUM(I9:I11)</f>
        <v>397.9542395693136</v>
      </c>
      <c r="J12" s="9">
        <f>SUM(J9:J11)</f>
        <v>5600</v>
      </c>
      <c r="K12" s="9">
        <f t="shared" si="1"/>
        <v>5768</v>
      </c>
      <c r="L12" s="9">
        <f t="shared" si="1"/>
        <v>5941.04</v>
      </c>
      <c r="M12" s="9">
        <f t="shared" si="1"/>
        <v>6119.2712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134</v>
      </c>
      <c r="C14" s="12">
        <v>11000</v>
      </c>
      <c r="D14" s="9"/>
      <c r="E14" s="9"/>
      <c r="F14" s="9"/>
      <c r="G14" s="9"/>
      <c r="H14" s="12">
        <f>E14+F14-D14</f>
        <v>0</v>
      </c>
      <c r="I14" s="12"/>
      <c r="J14" s="12">
        <v>0</v>
      </c>
      <c r="K14" s="12">
        <v>0</v>
      </c>
      <c r="L14" s="12">
        <v>0</v>
      </c>
      <c r="M14" s="12">
        <v>0</v>
      </c>
      <c r="N14" s="2"/>
      <c r="O14" s="2"/>
      <c r="P14" s="2"/>
      <c r="Q14" s="2"/>
      <c r="R14" s="2"/>
    </row>
    <row r="15" spans="2:18" ht="15">
      <c r="B15" s="6" t="s">
        <v>135</v>
      </c>
      <c r="C15" s="12">
        <v>12000</v>
      </c>
      <c r="D15" s="9"/>
      <c r="E15" s="9"/>
      <c r="F15" s="9"/>
      <c r="G15" s="9"/>
      <c r="H15" s="12">
        <f>E15+F15-D15</f>
        <v>0</v>
      </c>
      <c r="I15" s="12"/>
      <c r="J15" s="12">
        <v>0</v>
      </c>
      <c r="K15" s="12">
        <v>0</v>
      </c>
      <c r="L15" s="12">
        <v>0</v>
      </c>
      <c r="M15" s="12">
        <v>0</v>
      </c>
      <c r="N15" s="2"/>
      <c r="O15" s="2"/>
      <c r="P15" s="2"/>
      <c r="Q15" s="2"/>
      <c r="R15" s="2"/>
    </row>
    <row r="16" spans="2:18" ht="15">
      <c r="B16" s="10" t="s">
        <v>112</v>
      </c>
      <c r="C16" s="12">
        <v>0</v>
      </c>
      <c r="D16" s="9"/>
      <c r="E16" s="9"/>
      <c r="F16" s="9"/>
      <c r="G16" s="9"/>
      <c r="H16" s="12">
        <f>E16+F16-D16</f>
        <v>0</v>
      </c>
      <c r="I16" s="9"/>
      <c r="J16" s="12">
        <v>23000</v>
      </c>
      <c r="K16" s="12">
        <v>23000</v>
      </c>
      <c r="L16" s="12">
        <v>23000</v>
      </c>
      <c r="M16" s="12">
        <v>23000</v>
      </c>
      <c r="N16" s="2"/>
      <c r="O16" s="2"/>
      <c r="P16" s="2"/>
      <c r="Q16" s="2"/>
      <c r="R16" s="2"/>
    </row>
    <row r="17" spans="2:18" ht="15">
      <c r="B17" s="5" t="s">
        <v>133</v>
      </c>
      <c r="C17" s="9">
        <f>SUM(C13:C16)</f>
        <v>23000</v>
      </c>
      <c r="D17" s="9">
        <f aca="true" t="shared" si="2" ref="D17:M17">SUM(D13:D16)</f>
        <v>0</v>
      </c>
      <c r="E17" s="9">
        <f t="shared" si="2"/>
        <v>0</v>
      </c>
      <c r="F17" s="9">
        <f t="shared" si="2"/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23000</v>
      </c>
      <c r="K17" s="9">
        <f t="shared" si="2"/>
        <v>23000</v>
      </c>
      <c r="L17" s="9">
        <f t="shared" si="2"/>
        <v>23000</v>
      </c>
      <c r="M17" s="9">
        <f t="shared" si="2"/>
        <v>23000</v>
      </c>
      <c r="N17" s="2"/>
      <c r="O17" s="2"/>
      <c r="P17" s="2"/>
      <c r="Q17" s="2"/>
      <c r="R17" s="2"/>
    </row>
    <row r="18" spans="2:18" ht="1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"/>
      <c r="O18" s="2"/>
      <c r="P18" s="2"/>
      <c r="Q18" s="2"/>
      <c r="R18" s="2"/>
    </row>
    <row r="19" spans="2:18" ht="15">
      <c r="B19" s="5" t="s">
        <v>62</v>
      </c>
      <c r="C19" s="9">
        <f>C12+C17+C7</f>
        <v>28600</v>
      </c>
      <c r="D19" s="9">
        <f aca="true" t="shared" si="3" ref="D19:I19">D12+D17</f>
        <v>2999.7308209959624</v>
      </c>
      <c r="E19" s="9">
        <f t="shared" si="3"/>
        <v>1989.771197846568</v>
      </c>
      <c r="F19" s="9">
        <f t="shared" si="3"/>
        <v>1009.9596231493944</v>
      </c>
      <c r="G19" s="9">
        <f t="shared" si="3"/>
        <v>2600.2691790040376</v>
      </c>
      <c r="H19" s="9">
        <f t="shared" si="3"/>
        <v>0</v>
      </c>
      <c r="I19" s="9">
        <f t="shared" si="3"/>
        <v>397.9542395693136</v>
      </c>
      <c r="J19" s="9">
        <f>J12+J17+J7</f>
        <v>28600</v>
      </c>
      <c r="K19" s="9">
        <f>K12+K17+K7</f>
        <v>31368</v>
      </c>
      <c r="L19" s="9">
        <f>L12+L17+L7</f>
        <v>31541.04</v>
      </c>
      <c r="M19" s="9">
        <f>M12+M17+M7</f>
        <v>31719.2712</v>
      </c>
      <c r="N19" s="2"/>
      <c r="O19" s="2"/>
      <c r="P19" s="2"/>
      <c r="Q19" s="2"/>
      <c r="R19" s="2"/>
    </row>
    <row r="20" spans="2:18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2:18" ht="15">
      <c r="B21" s="6" t="s">
        <v>98</v>
      </c>
      <c r="C21" s="12">
        <v>-8800</v>
      </c>
      <c r="D21" s="12">
        <v>-1250</v>
      </c>
      <c r="E21" s="12">
        <v>-1250</v>
      </c>
      <c r="F21" s="9"/>
      <c r="G21" s="9"/>
      <c r="H21" s="12">
        <f>E21+F21-D21</f>
        <v>0</v>
      </c>
      <c r="I21" s="12"/>
      <c r="J21" s="12">
        <v>-6300</v>
      </c>
      <c r="K21" s="12">
        <v>-6300</v>
      </c>
      <c r="L21" s="12">
        <v>-6300</v>
      </c>
      <c r="M21" s="12">
        <v>-6300</v>
      </c>
      <c r="N21" s="2"/>
      <c r="O21" s="2"/>
      <c r="P21" s="2"/>
      <c r="Q21" s="2"/>
      <c r="R21" s="2"/>
    </row>
    <row r="22" spans="2:18" ht="15">
      <c r="B22" s="6" t="s">
        <v>128</v>
      </c>
      <c r="C22" s="12">
        <v>0</v>
      </c>
      <c r="D22" s="12">
        <v>0</v>
      </c>
      <c r="E22" s="12">
        <v>-50</v>
      </c>
      <c r="F22" s="9"/>
      <c r="G22" s="9"/>
      <c r="H22" s="12">
        <f>E22+F22-D22</f>
        <v>-50</v>
      </c>
      <c r="I22" s="12"/>
      <c r="J22" s="12">
        <v>-50</v>
      </c>
      <c r="K22" s="12">
        <v>-50</v>
      </c>
      <c r="L22" s="12">
        <v>-50</v>
      </c>
      <c r="M22" s="12">
        <v>-50</v>
      </c>
      <c r="N22" s="2"/>
      <c r="O22" s="2"/>
      <c r="P22" s="2"/>
      <c r="Q22" s="2"/>
      <c r="R22" s="2"/>
    </row>
    <row r="23" spans="2:18" ht="15">
      <c r="B23" s="6" t="s">
        <v>97</v>
      </c>
      <c r="C23" s="12">
        <v>-1000</v>
      </c>
      <c r="D23" s="9"/>
      <c r="E23" s="9"/>
      <c r="F23" s="9"/>
      <c r="G23" s="9"/>
      <c r="H23" s="12">
        <f>E23+F23-D23</f>
        <v>0</v>
      </c>
      <c r="I23" s="12"/>
      <c r="J23" s="12">
        <v>-1000</v>
      </c>
      <c r="K23" s="12">
        <v>-1000</v>
      </c>
      <c r="L23" s="12">
        <v>-1000</v>
      </c>
      <c r="M23" s="12">
        <v>-1000</v>
      </c>
      <c r="N23" s="2"/>
      <c r="O23" s="2"/>
      <c r="P23" s="2"/>
      <c r="Q23" s="2"/>
      <c r="R23" s="2"/>
    </row>
    <row r="24" spans="2:18" ht="15">
      <c r="B24" s="5" t="s">
        <v>0</v>
      </c>
      <c r="C24" s="9">
        <f aca="true" t="shared" si="4" ref="C24:M24">SUM(C21:C23)</f>
        <v>-9800</v>
      </c>
      <c r="D24" s="9">
        <f t="shared" si="4"/>
        <v>-1250</v>
      </c>
      <c r="E24" s="9">
        <f t="shared" si="4"/>
        <v>-1300</v>
      </c>
      <c r="F24" s="9">
        <f t="shared" si="4"/>
        <v>0</v>
      </c>
      <c r="G24" s="9">
        <f t="shared" si="4"/>
        <v>0</v>
      </c>
      <c r="H24" s="9">
        <f t="shared" si="4"/>
        <v>-50</v>
      </c>
      <c r="I24" s="9">
        <f t="shared" si="4"/>
        <v>0</v>
      </c>
      <c r="J24" s="9">
        <f t="shared" si="4"/>
        <v>-7350</v>
      </c>
      <c r="K24" s="9">
        <f t="shared" si="4"/>
        <v>-7350</v>
      </c>
      <c r="L24" s="9">
        <f t="shared" si="4"/>
        <v>-7350</v>
      </c>
      <c r="M24" s="9">
        <f t="shared" si="4"/>
        <v>-7350</v>
      </c>
      <c r="N24" s="2"/>
      <c r="O24" s="2"/>
      <c r="P24" s="2"/>
      <c r="Q24" s="2"/>
      <c r="R24" s="2"/>
    </row>
    <row r="25" spans="2:18" ht="15"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</row>
    <row r="26" spans="2:18" ht="15">
      <c r="B26" s="5" t="s">
        <v>65</v>
      </c>
      <c r="C26" s="9">
        <f aca="true" t="shared" si="5" ref="C26:M26">C19+C24</f>
        <v>18800</v>
      </c>
      <c r="D26" s="9">
        <f t="shared" si="5"/>
        <v>1749.7308209959624</v>
      </c>
      <c r="E26" s="9">
        <f t="shared" si="5"/>
        <v>689.7711978465679</v>
      </c>
      <c r="F26" s="9">
        <f t="shared" si="5"/>
        <v>1009.9596231493944</v>
      </c>
      <c r="G26" s="9">
        <f t="shared" si="5"/>
        <v>2600.2691790040376</v>
      </c>
      <c r="H26" s="9">
        <f t="shared" si="5"/>
        <v>-50</v>
      </c>
      <c r="I26" s="9">
        <f t="shared" si="5"/>
        <v>397.9542395693136</v>
      </c>
      <c r="J26" s="9">
        <f t="shared" si="5"/>
        <v>21250</v>
      </c>
      <c r="K26" s="9">
        <f t="shared" si="5"/>
        <v>24018</v>
      </c>
      <c r="L26" s="9">
        <f t="shared" si="5"/>
        <v>24191.04</v>
      </c>
      <c r="M26" s="9">
        <f t="shared" si="5"/>
        <v>24369.2712</v>
      </c>
      <c r="N26" s="2"/>
      <c r="O26" s="2"/>
      <c r="P26" s="2"/>
      <c r="Q26" s="2"/>
      <c r="R26" s="2"/>
    </row>
    <row r="28" ht="15">
      <c r="B28" s="1"/>
    </row>
    <row r="30" ht="15">
      <c r="B30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zoomScalePageLayoutView="0" workbookViewId="0" topLeftCell="A8">
      <selection activeCell="M28" sqref="M28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37" t="s">
        <v>209</v>
      </c>
      <c r="C2" s="35" t="s">
        <v>73</v>
      </c>
      <c r="D2" s="35" t="s">
        <v>74</v>
      </c>
      <c r="E2" s="35" t="s">
        <v>75</v>
      </c>
      <c r="F2" s="93" t="s">
        <v>116</v>
      </c>
      <c r="G2" s="93" t="s">
        <v>123</v>
      </c>
      <c r="H2" s="93" t="s">
        <v>76</v>
      </c>
      <c r="I2" s="93" t="s">
        <v>124</v>
      </c>
      <c r="J2" s="35" t="s">
        <v>111</v>
      </c>
      <c r="K2" s="35" t="s">
        <v>136</v>
      </c>
      <c r="L2" s="35" t="s">
        <v>77</v>
      </c>
      <c r="M2" s="35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7" t="s">
        <v>50</v>
      </c>
      <c r="C5" s="12">
        <v>37920</v>
      </c>
      <c r="D5" s="12">
        <v>0</v>
      </c>
      <c r="E5" s="9"/>
      <c r="F5" s="9"/>
      <c r="G5" s="9"/>
      <c r="H5" s="12">
        <f aca="true" t="shared" si="0" ref="H5:H13">E5+F5-D5</f>
        <v>0</v>
      </c>
      <c r="I5" s="12"/>
      <c r="J5" s="12">
        <v>0</v>
      </c>
      <c r="K5" s="12">
        <v>20000</v>
      </c>
      <c r="L5" s="12">
        <f aca="true" t="shared" si="1" ref="L5:M12">K5*1.03</f>
        <v>20600</v>
      </c>
      <c r="M5" s="12">
        <f t="shared" si="1"/>
        <v>21218</v>
      </c>
      <c r="N5" s="2"/>
      <c r="O5" s="2"/>
      <c r="P5" s="2"/>
      <c r="Q5" s="2"/>
      <c r="R5" s="2"/>
    </row>
    <row r="6" spans="2:18" ht="15">
      <c r="B6" s="7" t="s">
        <v>137</v>
      </c>
      <c r="C6" s="12">
        <v>0</v>
      </c>
      <c r="D6" s="12">
        <v>0</v>
      </c>
      <c r="E6" s="9"/>
      <c r="F6" s="9"/>
      <c r="G6" s="9"/>
      <c r="H6" s="12">
        <f t="shared" si="0"/>
        <v>0</v>
      </c>
      <c r="I6" s="12"/>
      <c r="J6" s="12">
        <v>1530</v>
      </c>
      <c r="K6" s="12">
        <f>J6*1.03</f>
        <v>1575.9</v>
      </c>
      <c r="L6" s="12">
        <f t="shared" si="1"/>
        <v>1623.1770000000001</v>
      </c>
      <c r="M6" s="12">
        <f t="shared" si="1"/>
        <v>1671.8723100000002</v>
      </c>
      <c r="N6" s="2"/>
      <c r="O6" s="2"/>
      <c r="P6" s="2"/>
      <c r="Q6" s="2"/>
      <c r="R6" s="2"/>
    </row>
    <row r="7" spans="2:18" ht="15">
      <c r="B7" s="7" t="s">
        <v>72</v>
      </c>
      <c r="C7" s="12">
        <v>100</v>
      </c>
      <c r="D7" s="12">
        <v>100</v>
      </c>
      <c r="E7" s="12">
        <v>186</v>
      </c>
      <c r="F7" s="12">
        <v>2</v>
      </c>
      <c r="G7" s="9"/>
      <c r="H7" s="12">
        <f t="shared" si="0"/>
        <v>88</v>
      </c>
      <c r="I7" s="12"/>
      <c r="J7" s="12">
        <v>300</v>
      </c>
      <c r="K7" s="12">
        <v>100</v>
      </c>
      <c r="L7" s="12">
        <f t="shared" si="1"/>
        <v>103</v>
      </c>
      <c r="M7" s="12">
        <f t="shared" si="1"/>
        <v>106.09</v>
      </c>
      <c r="N7" s="2"/>
      <c r="O7" s="2"/>
      <c r="P7" s="2"/>
      <c r="Q7" s="2"/>
      <c r="R7" s="2"/>
    </row>
    <row r="8" spans="2:18" ht="15">
      <c r="B8" s="7" t="s">
        <v>51</v>
      </c>
      <c r="C8" s="12">
        <v>400</v>
      </c>
      <c r="D8" s="12">
        <v>0</v>
      </c>
      <c r="E8" s="9"/>
      <c r="F8" s="9"/>
      <c r="G8" s="9"/>
      <c r="H8" s="12">
        <f t="shared" si="0"/>
        <v>0</v>
      </c>
      <c r="I8" s="12"/>
      <c r="J8" s="12">
        <f>C8*0.75</f>
        <v>300</v>
      </c>
      <c r="K8" s="12">
        <v>400</v>
      </c>
      <c r="L8" s="12">
        <f t="shared" si="1"/>
        <v>412</v>
      </c>
      <c r="M8" s="12">
        <f t="shared" si="1"/>
        <v>424.36</v>
      </c>
      <c r="N8" s="2"/>
      <c r="O8" s="2"/>
      <c r="P8" s="2"/>
      <c r="Q8" s="2"/>
      <c r="R8" s="2"/>
    </row>
    <row r="9" spans="2:18" ht="15">
      <c r="B9" s="6" t="s">
        <v>57</v>
      </c>
      <c r="C9" s="8">
        <v>8000</v>
      </c>
      <c r="D9" s="12">
        <v>0</v>
      </c>
      <c r="E9" s="9"/>
      <c r="F9" s="9"/>
      <c r="G9" s="9"/>
      <c r="H9" s="12">
        <f t="shared" si="0"/>
        <v>0</v>
      </c>
      <c r="I9" s="12"/>
      <c r="J9" s="12">
        <v>4000</v>
      </c>
      <c r="K9" s="8">
        <v>8000</v>
      </c>
      <c r="L9" s="12">
        <f t="shared" si="1"/>
        <v>8240</v>
      </c>
      <c r="M9" s="12">
        <f t="shared" si="1"/>
        <v>8487.2</v>
      </c>
      <c r="N9" s="2"/>
      <c r="O9" s="2"/>
      <c r="P9" s="2"/>
      <c r="Q9" s="2"/>
      <c r="R9" s="2"/>
    </row>
    <row r="10" spans="2:18" ht="15">
      <c r="B10" s="6" t="s">
        <v>58</v>
      </c>
      <c r="C10" s="8">
        <v>6000</v>
      </c>
      <c r="D10" s="12">
        <v>3000</v>
      </c>
      <c r="E10" s="12">
        <v>551</v>
      </c>
      <c r="F10" s="12">
        <v>635</v>
      </c>
      <c r="G10" s="12"/>
      <c r="H10" s="12">
        <f t="shared" si="0"/>
        <v>-1814</v>
      </c>
      <c r="I10" s="12"/>
      <c r="J10" s="12">
        <v>2000</v>
      </c>
      <c r="K10" s="8">
        <v>6000</v>
      </c>
      <c r="L10" s="12">
        <f t="shared" si="1"/>
        <v>6180</v>
      </c>
      <c r="M10" s="12">
        <f t="shared" si="1"/>
        <v>6365.400000000001</v>
      </c>
      <c r="N10" s="2"/>
      <c r="O10" s="2"/>
      <c r="P10" s="2"/>
      <c r="Q10" s="2"/>
      <c r="R10" s="2"/>
    </row>
    <row r="11" spans="2:18" ht="15">
      <c r="B11" s="6" t="s">
        <v>59</v>
      </c>
      <c r="C11" s="8">
        <v>16000</v>
      </c>
      <c r="D11" s="12">
        <v>5330</v>
      </c>
      <c r="E11" s="12">
        <v>1475</v>
      </c>
      <c r="F11" s="12">
        <v>1483</v>
      </c>
      <c r="G11" s="12"/>
      <c r="H11" s="12">
        <f t="shared" si="0"/>
        <v>-2372</v>
      </c>
      <c r="I11" s="12"/>
      <c r="J11" s="12">
        <v>9000</v>
      </c>
      <c r="K11" s="8">
        <v>16000</v>
      </c>
      <c r="L11" s="12">
        <f t="shared" si="1"/>
        <v>16480</v>
      </c>
      <c r="M11" s="12">
        <f t="shared" si="1"/>
        <v>16974.4</v>
      </c>
      <c r="N11" s="2"/>
      <c r="O11" s="2"/>
      <c r="P11" s="2"/>
      <c r="Q11" s="2"/>
      <c r="R11" s="2"/>
    </row>
    <row r="12" spans="2:18" ht="15">
      <c r="B12" s="6" t="s">
        <v>60</v>
      </c>
      <c r="C12" s="8">
        <v>9000</v>
      </c>
      <c r="D12" s="12">
        <v>3000</v>
      </c>
      <c r="E12" s="12">
        <v>307</v>
      </c>
      <c r="F12" s="12">
        <v>204</v>
      </c>
      <c r="G12" s="12"/>
      <c r="H12" s="12">
        <f t="shared" si="0"/>
        <v>-2489</v>
      </c>
      <c r="I12" s="12"/>
      <c r="J12" s="12">
        <v>1200</v>
      </c>
      <c r="K12" s="8">
        <v>9000</v>
      </c>
      <c r="L12" s="12">
        <f t="shared" si="1"/>
        <v>9270</v>
      </c>
      <c r="M12" s="12">
        <f t="shared" si="1"/>
        <v>9548.1</v>
      </c>
      <c r="N12" s="2"/>
      <c r="O12" s="2"/>
      <c r="P12" s="2"/>
      <c r="Q12" s="2"/>
      <c r="R12" s="2"/>
    </row>
    <row r="13" spans="2:18" ht="15">
      <c r="B13" s="6" t="s">
        <v>61</v>
      </c>
      <c r="C13" s="8">
        <v>5000</v>
      </c>
      <c r="D13" s="12">
        <v>5000</v>
      </c>
      <c r="E13" s="9"/>
      <c r="F13" s="9"/>
      <c r="G13" s="9"/>
      <c r="H13" s="12">
        <f t="shared" si="0"/>
        <v>-5000</v>
      </c>
      <c r="I13" s="12"/>
      <c r="J13" s="8">
        <v>0</v>
      </c>
      <c r="K13" s="8">
        <v>0</v>
      </c>
      <c r="L13" s="8">
        <v>0</v>
      </c>
      <c r="M13" s="8">
        <v>0</v>
      </c>
      <c r="N13" s="2"/>
      <c r="O13" s="2"/>
      <c r="P13" s="2"/>
      <c r="Q13" s="2"/>
      <c r="R13" s="2"/>
    </row>
    <row r="14" spans="2:18" ht="15">
      <c r="B14" s="5" t="s">
        <v>71</v>
      </c>
      <c r="C14" s="9">
        <f aca="true" t="shared" si="2" ref="C14:M14">SUM(C5:C13)</f>
        <v>82420</v>
      </c>
      <c r="D14" s="9">
        <f t="shared" si="2"/>
        <v>16430</v>
      </c>
      <c r="E14" s="9">
        <f t="shared" si="2"/>
        <v>2519</v>
      </c>
      <c r="F14" s="9">
        <f t="shared" si="2"/>
        <v>2324</v>
      </c>
      <c r="G14" s="9">
        <f t="shared" si="2"/>
        <v>0</v>
      </c>
      <c r="H14" s="9">
        <f t="shared" si="2"/>
        <v>-11587</v>
      </c>
      <c r="I14" s="9">
        <f t="shared" si="2"/>
        <v>0</v>
      </c>
      <c r="J14" s="9">
        <f t="shared" si="2"/>
        <v>18330</v>
      </c>
      <c r="K14" s="9">
        <f t="shared" si="2"/>
        <v>61075.9</v>
      </c>
      <c r="L14" s="9">
        <f t="shared" si="2"/>
        <v>62908.176999999996</v>
      </c>
      <c r="M14" s="9">
        <f t="shared" si="2"/>
        <v>64795.42231</v>
      </c>
      <c r="N14" s="2"/>
      <c r="O14" s="2"/>
      <c r="P14" s="2"/>
      <c r="Q14" s="2"/>
      <c r="R14" s="2"/>
    </row>
    <row r="15" spans="2:18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"/>
      <c r="O15" s="2"/>
      <c r="P15" s="2"/>
      <c r="Q15" s="2"/>
      <c r="R15" s="2"/>
    </row>
    <row r="16" spans="2:18" ht="15">
      <c r="B16" s="7" t="s">
        <v>52</v>
      </c>
      <c r="C16" s="12">
        <v>200</v>
      </c>
      <c r="D16" s="9"/>
      <c r="E16" s="9"/>
      <c r="F16" s="9"/>
      <c r="G16" s="9"/>
      <c r="H16" s="12">
        <f>E16+F16-D16</f>
        <v>0</v>
      </c>
      <c r="I16" s="9"/>
      <c r="J16" s="12">
        <v>0</v>
      </c>
      <c r="K16" s="12">
        <v>200</v>
      </c>
      <c r="L16" s="12">
        <f aca="true" t="shared" si="3" ref="L16:M20">K16*1.03</f>
        <v>206</v>
      </c>
      <c r="M16" s="12">
        <f t="shared" si="3"/>
        <v>212.18</v>
      </c>
      <c r="N16" s="2"/>
      <c r="O16" s="2"/>
      <c r="P16" s="2"/>
      <c r="Q16" s="2"/>
      <c r="R16" s="2"/>
    </row>
    <row r="17" spans="2:18" ht="15">
      <c r="B17" s="7" t="s">
        <v>53</v>
      </c>
      <c r="C17" s="12">
        <v>1000</v>
      </c>
      <c r="D17" s="9"/>
      <c r="E17" s="9"/>
      <c r="F17" s="9"/>
      <c r="G17" s="9"/>
      <c r="H17" s="12">
        <f>E17+F17-D17</f>
        <v>0</v>
      </c>
      <c r="I17" s="9"/>
      <c r="J17" s="12">
        <v>0</v>
      </c>
      <c r="K17" s="12">
        <v>1000</v>
      </c>
      <c r="L17" s="12">
        <f t="shared" si="3"/>
        <v>1030</v>
      </c>
      <c r="M17" s="12">
        <f t="shared" si="3"/>
        <v>1060.9</v>
      </c>
      <c r="N17" s="2"/>
      <c r="O17" s="2"/>
      <c r="P17" s="2"/>
      <c r="Q17" s="2"/>
      <c r="R17" s="2"/>
    </row>
    <row r="18" spans="2:18" ht="15">
      <c r="B18" s="7" t="s">
        <v>54</v>
      </c>
      <c r="C18" s="12">
        <v>2000</v>
      </c>
      <c r="D18" s="9"/>
      <c r="E18" s="9"/>
      <c r="F18" s="9"/>
      <c r="G18" s="9"/>
      <c r="H18" s="12">
        <f>E18+F18-D18</f>
        <v>0</v>
      </c>
      <c r="I18" s="9"/>
      <c r="J18" s="12">
        <v>0</v>
      </c>
      <c r="K18" s="12">
        <v>2000</v>
      </c>
      <c r="L18" s="12">
        <f t="shared" si="3"/>
        <v>2060</v>
      </c>
      <c r="M18" s="12">
        <f t="shared" si="3"/>
        <v>2121.8</v>
      </c>
      <c r="N18" s="2"/>
      <c r="O18" s="2"/>
      <c r="P18" s="2"/>
      <c r="Q18" s="2"/>
      <c r="R18" s="2"/>
    </row>
    <row r="19" spans="2:18" ht="15">
      <c r="B19" s="7" t="s">
        <v>55</v>
      </c>
      <c r="C19" s="12">
        <v>100</v>
      </c>
      <c r="D19" s="9"/>
      <c r="E19" s="9"/>
      <c r="F19" s="9"/>
      <c r="G19" s="9"/>
      <c r="H19" s="12">
        <f>E19+F19-D19</f>
        <v>0</v>
      </c>
      <c r="I19" s="9"/>
      <c r="J19" s="12">
        <v>0</v>
      </c>
      <c r="K19" s="12">
        <v>100</v>
      </c>
      <c r="L19" s="12">
        <f t="shared" si="3"/>
        <v>103</v>
      </c>
      <c r="M19" s="12">
        <f t="shared" si="3"/>
        <v>106.09</v>
      </c>
      <c r="N19" s="2"/>
      <c r="O19" s="2"/>
      <c r="P19" s="2"/>
      <c r="Q19" s="2"/>
      <c r="R19" s="2"/>
    </row>
    <row r="20" spans="2:18" ht="15">
      <c r="B20" s="7" t="s">
        <v>56</v>
      </c>
      <c r="C20" s="12">
        <v>400</v>
      </c>
      <c r="D20" s="9"/>
      <c r="E20" s="9"/>
      <c r="F20" s="9"/>
      <c r="G20" s="9"/>
      <c r="H20" s="12">
        <f>E20+F20-D20</f>
        <v>0</v>
      </c>
      <c r="I20" s="9"/>
      <c r="J20" s="12">
        <v>0</v>
      </c>
      <c r="K20" s="12">
        <v>400</v>
      </c>
      <c r="L20" s="12">
        <f t="shared" si="3"/>
        <v>412</v>
      </c>
      <c r="M20" s="12">
        <f t="shared" si="3"/>
        <v>424.36</v>
      </c>
      <c r="N20" s="2"/>
      <c r="O20" s="2"/>
      <c r="P20" s="2"/>
      <c r="Q20" s="2"/>
      <c r="R20" s="2"/>
    </row>
    <row r="21" spans="2:18" ht="15">
      <c r="B21" s="17" t="s">
        <v>79</v>
      </c>
      <c r="C21" s="9">
        <f aca="true" t="shared" si="4" ref="C21:M21">SUM(C16:C20)</f>
        <v>3700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3700</v>
      </c>
      <c r="L21" s="9">
        <f t="shared" si="4"/>
        <v>3811</v>
      </c>
      <c r="M21" s="9">
        <f t="shared" si="4"/>
        <v>3925.3300000000004</v>
      </c>
      <c r="N21" s="2"/>
      <c r="O21" s="2"/>
      <c r="P21" s="2"/>
      <c r="Q21" s="2"/>
      <c r="R21" s="2"/>
    </row>
    <row r="22" spans="2:18" ht="15">
      <c r="B22" s="7"/>
      <c r="C22" s="12"/>
      <c r="D22" s="9"/>
      <c r="E22" s="9"/>
      <c r="F22" s="9"/>
      <c r="G22" s="9"/>
      <c r="H22" s="9"/>
      <c r="I22" s="9"/>
      <c r="J22" s="12"/>
      <c r="K22" s="9"/>
      <c r="L22" s="9"/>
      <c r="M22" s="9"/>
      <c r="N22" s="2"/>
      <c r="O22" s="2"/>
      <c r="P22" s="2"/>
      <c r="Q22" s="2"/>
      <c r="R22" s="2"/>
    </row>
    <row r="23" spans="2:18" ht="15">
      <c r="B23" s="5" t="s">
        <v>62</v>
      </c>
      <c r="C23" s="9">
        <f aca="true" t="shared" si="5" ref="C23:M23">C14+C21</f>
        <v>86120</v>
      </c>
      <c r="D23" s="9">
        <f t="shared" si="5"/>
        <v>16430</v>
      </c>
      <c r="E23" s="9">
        <f t="shared" si="5"/>
        <v>2519</v>
      </c>
      <c r="F23" s="9">
        <f t="shared" si="5"/>
        <v>2324</v>
      </c>
      <c r="G23" s="9">
        <f t="shared" si="5"/>
        <v>0</v>
      </c>
      <c r="H23" s="9">
        <f t="shared" si="5"/>
        <v>-11587</v>
      </c>
      <c r="I23" s="9">
        <f t="shared" si="5"/>
        <v>0</v>
      </c>
      <c r="J23" s="9">
        <f t="shared" si="5"/>
        <v>18330</v>
      </c>
      <c r="K23" s="9">
        <f t="shared" si="5"/>
        <v>64775.9</v>
      </c>
      <c r="L23" s="9">
        <f t="shared" si="5"/>
        <v>66719.177</v>
      </c>
      <c r="M23" s="9">
        <f t="shared" si="5"/>
        <v>68720.75231</v>
      </c>
      <c r="N23" s="2"/>
      <c r="O23" s="2"/>
      <c r="P23" s="2"/>
      <c r="Q23" s="2"/>
      <c r="R23" s="2"/>
    </row>
    <row r="24" spans="2:18" ht="15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"/>
      <c r="O24" s="2"/>
      <c r="P24" s="2"/>
      <c r="Q24" s="2"/>
      <c r="R24" s="2"/>
    </row>
    <row r="25" spans="2:18" ht="15">
      <c r="B25" s="6"/>
      <c r="C25" s="12"/>
      <c r="D25" s="9"/>
      <c r="E25" s="9"/>
      <c r="F25" s="9"/>
      <c r="G25" s="9"/>
      <c r="H25" s="12">
        <f>E25+F25-D25</f>
        <v>0</v>
      </c>
      <c r="I25" s="9"/>
      <c r="J25" s="12"/>
      <c r="K25" s="12"/>
      <c r="L25" s="12"/>
      <c r="M25" s="12"/>
      <c r="N25" s="2"/>
      <c r="O25" s="2"/>
      <c r="P25" s="2"/>
      <c r="Q25" s="2"/>
      <c r="R25" s="2"/>
    </row>
    <row r="26" spans="2:18" ht="15">
      <c r="B26" s="6" t="s">
        <v>213</v>
      </c>
      <c r="C26" s="12"/>
      <c r="D26" s="9"/>
      <c r="E26" s="9"/>
      <c r="F26" s="9"/>
      <c r="G26" s="9"/>
      <c r="H26" s="12">
        <f>E26+F26-D26</f>
        <v>0</v>
      </c>
      <c r="I26" s="9"/>
      <c r="J26" s="12"/>
      <c r="K26" s="12">
        <v>-1900</v>
      </c>
      <c r="L26" s="12"/>
      <c r="M26" s="12"/>
      <c r="N26" s="2"/>
      <c r="O26" s="2"/>
      <c r="P26" s="2"/>
      <c r="Q26" s="2"/>
      <c r="R26" s="2"/>
    </row>
    <row r="27" spans="2:18" ht="15">
      <c r="B27" s="5" t="s">
        <v>0</v>
      </c>
      <c r="C27" s="9">
        <f>SUM(C25:C26)</f>
        <v>0</v>
      </c>
      <c r="D27" s="9">
        <f aca="true" t="shared" si="6" ref="D27:K27">SUM(D25:D26)</f>
        <v>0</v>
      </c>
      <c r="E27" s="9">
        <f t="shared" si="6"/>
        <v>0</v>
      </c>
      <c r="F27" s="9">
        <f t="shared" si="6"/>
        <v>0</v>
      </c>
      <c r="G27" s="9">
        <f>SUM(G25:G26)</f>
        <v>0</v>
      </c>
      <c r="H27" s="9">
        <f t="shared" si="6"/>
        <v>0</v>
      </c>
      <c r="I27" s="9">
        <f>SUM(I25:I26)</f>
        <v>0</v>
      </c>
      <c r="J27" s="9">
        <f>SUM(J25:J26)</f>
        <v>0</v>
      </c>
      <c r="K27" s="9">
        <f t="shared" si="6"/>
        <v>-1900</v>
      </c>
      <c r="L27" s="12">
        <v>-2287</v>
      </c>
      <c r="M27" s="12">
        <v>-2685</v>
      </c>
      <c r="N27" s="2"/>
      <c r="O27" s="2"/>
      <c r="P27" s="2"/>
      <c r="Q27" s="2"/>
      <c r="R27" s="2"/>
    </row>
    <row r="28" spans="2:18" ht="15"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</row>
    <row r="29" spans="2:18" ht="15">
      <c r="B29" s="5" t="s">
        <v>65</v>
      </c>
      <c r="C29" s="9">
        <f aca="true" t="shared" si="7" ref="C29:M29">C23+C27</f>
        <v>86120</v>
      </c>
      <c r="D29" s="9">
        <f t="shared" si="7"/>
        <v>16430</v>
      </c>
      <c r="E29" s="9">
        <f t="shared" si="7"/>
        <v>2519</v>
      </c>
      <c r="F29" s="9">
        <f t="shared" si="7"/>
        <v>2324</v>
      </c>
      <c r="G29" s="9">
        <f>G23+G27</f>
        <v>0</v>
      </c>
      <c r="H29" s="9">
        <f t="shared" si="7"/>
        <v>-11587</v>
      </c>
      <c r="I29" s="9">
        <f>I23+I27</f>
        <v>0</v>
      </c>
      <c r="J29" s="9">
        <f>J23+J27</f>
        <v>18330</v>
      </c>
      <c r="K29" s="9">
        <f t="shared" si="7"/>
        <v>62875.9</v>
      </c>
      <c r="L29" s="9">
        <f t="shared" si="7"/>
        <v>64432.176999999996</v>
      </c>
      <c r="M29" s="9">
        <f t="shared" si="7"/>
        <v>66035.75231</v>
      </c>
      <c r="N29" s="2"/>
      <c r="O29" s="2"/>
      <c r="P29" s="2"/>
      <c r="Q29" s="2"/>
      <c r="R29" s="2"/>
    </row>
    <row r="31" ht="15">
      <c r="B31" s="23"/>
    </row>
    <row r="33" ht="15">
      <c r="B33" s="19"/>
    </row>
    <row r="34" ht="15">
      <c r="B34" s="19"/>
    </row>
    <row r="37" ht="15">
      <c r="B37" s="3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9"/>
  <sheetViews>
    <sheetView zoomScalePageLayoutView="0" workbookViewId="0" topLeftCell="A16">
      <selection activeCell="X25" sqref="X25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11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35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7" t="s">
        <v>100</v>
      </c>
      <c r="C5" s="36">
        <v>183000</v>
      </c>
      <c r="D5" s="36" t="e">
        <f>SUM(#REF!)</f>
        <v>#REF!</v>
      </c>
      <c r="E5" s="36" t="e">
        <f>SUM(#REF!)</f>
        <v>#REF!</v>
      </c>
      <c r="F5" s="36" t="e">
        <f>SUM(#REF!)</f>
        <v>#REF!</v>
      </c>
      <c r="G5" s="36" t="e">
        <f>SUM(#REF!)</f>
        <v>#REF!</v>
      </c>
      <c r="H5" s="36" t="e">
        <f>SUM(#REF!)</f>
        <v>#REF!</v>
      </c>
      <c r="I5" s="36" t="e">
        <f>SUM(#REF!)</f>
        <v>#REF!</v>
      </c>
      <c r="J5" s="36">
        <v>43487</v>
      </c>
      <c r="K5" s="36">
        <v>187957</v>
      </c>
      <c r="L5" s="36">
        <f>K5*1.02</f>
        <v>191716.14</v>
      </c>
      <c r="M5" s="36">
        <f>L5*1.02</f>
        <v>195550.4628</v>
      </c>
      <c r="N5" s="2"/>
      <c r="O5" s="2"/>
      <c r="P5" s="2"/>
      <c r="Q5" s="2"/>
      <c r="R5" s="2"/>
    </row>
    <row r="6" spans="2:18" ht="15">
      <c r="B6" s="34" t="s">
        <v>101</v>
      </c>
      <c r="C6" s="12">
        <v>24300</v>
      </c>
      <c r="D6" s="12">
        <f>C6/2</f>
        <v>12150</v>
      </c>
      <c r="E6" s="9"/>
      <c r="F6" s="9"/>
      <c r="G6" s="9"/>
      <c r="H6" s="12">
        <f>E6+F6-D6</f>
        <v>-12150</v>
      </c>
      <c r="I6" s="12"/>
      <c r="J6" s="12">
        <f>J5*13.3%</f>
        <v>5783.771000000001</v>
      </c>
      <c r="K6" s="12">
        <f>K5*13.3%</f>
        <v>24998.281000000003</v>
      </c>
      <c r="L6" s="12">
        <f>L5*13.3%</f>
        <v>25498.24662</v>
      </c>
      <c r="M6" s="12">
        <f>M5*13.3%</f>
        <v>26008.211552400004</v>
      </c>
      <c r="N6" s="2"/>
      <c r="O6" s="2"/>
      <c r="P6" s="2"/>
      <c r="Q6" s="2"/>
      <c r="R6" s="2"/>
    </row>
    <row r="7" spans="2:18" ht="15">
      <c r="B7" s="34" t="s">
        <v>102</v>
      </c>
      <c r="C7" s="12">
        <v>29300</v>
      </c>
      <c r="D7" s="12">
        <f>C7/2</f>
        <v>14650</v>
      </c>
      <c r="E7" s="9"/>
      <c r="F7" s="9"/>
      <c r="G7" s="9"/>
      <c r="H7" s="12">
        <f>E7+F7-D7</f>
        <v>-14650</v>
      </c>
      <c r="I7" s="12"/>
      <c r="J7" s="12">
        <f>J5*25%</f>
        <v>10871.75</v>
      </c>
      <c r="K7" s="12">
        <f>K5*25%</f>
        <v>46989.25</v>
      </c>
      <c r="L7" s="12">
        <f>L5*25%</f>
        <v>47929.035</v>
      </c>
      <c r="M7" s="12">
        <f>M5*25%</f>
        <v>48887.6157</v>
      </c>
      <c r="N7" s="2"/>
      <c r="O7" s="2"/>
      <c r="P7" s="2"/>
      <c r="Q7" s="2"/>
      <c r="R7" s="2"/>
    </row>
    <row r="8" spans="2:18" ht="15">
      <c r="B8" s="34" t="s">
        <v>190</v>
      </c>
      <c r="C8" s="12">
        <v>0</v>
      </c>
      <c r="D8" s="12">
        <f>C8/2</f>
        <v>0</v>
      </c>
      <c r="E8" s="9"/>
      <c r="F8" s="9"/>
      <c r="G8" s="9"/>
      <c r="H8" s="12">
        <f>E8+F8-D8</f>
        <v>0</v>
      </c>
      <c r="I8" s="12"/>
      <c r="J8" s="12">
        <v>0</v>
      </c>
      <c r="K8" s="12">
        <v>30000</v>
      </c>
      <c r="L8" s="12">
        <v>30000</v>
      </c>
      <c r="M8" s="12">
        <v>30000</v>
      </c>
      <c r="N8" s="2"/>
      <c r="O8" s="2"/>
      <c r="P8" s="2"/>
      <c r="Q8" s="2"/>
      <c r="R8" s="2"/>
    </row>
    <row r="9" spans="2:18" ht="15">
      <c r="B9" s="34" t="s">
        <v>191</v>
      </c>
      <c r="C9" s="12">
        <v>0</v>
      </c>
      <c r="D9" s="12">
        <v>0</v>
      </c>
      <c r="E9" s="12">
        <v>21875</v>
      </c>
      <c r="F9" s="9"/>
      <c r="G9" s="9"/>
      <c r="H9" s="12">
        <f>E9+F9-D9</f>
        <v>21875</v>
      </c>
      <c r="I9" s="12">
        <v>4375</v>
      </c>
      <c r="J9" s="12">
        <v>38560</v>
      </c>
      <c r="K9" s="12">
        <v>50000</v>
      </c>
      <c r="L9" s="12">
        <v>50000</v>
      </c>
      <c r="M9" s="12">
        <v>50000</v>
      </c>
      <c r="N9" s="2"/>
      <c r="O9" s="2"/>
      <c r="P9" s="2"/>
      <c r="Q9" s="2"/>
      <c r="R9" s="2"/>
    </row>
    <row r="10" spans="2:18" ht="15">
      <c r="B10" s="37" t="s">
        <v>103</v>
      </c>
      <c r="C10" s="9">
        <f>SUM(C5:C9)</f>
        <v>236600</v>
      </c>
      <c r="D10" s="9" t="e">
        <f aca="true" t="shared" si="0" ref="D10:M10">SUM(D5:D9)</f>
        <v>#REF!</v>
      </c>
      <c r="E10" s="9" t="e">
        <f t="shared" si="0"/>
        <v>#REF!</v>
      </c>
      <c r="F10" s="9" t="e">
        <f t="shared" si="0"/>
        <v>#REF!</v>
      </c>
      <c r="G10" s="9" t="e">
        <f t="shared" si="0"/>
        <v>#REF!</v>
      </c>
      <c r="H10" s="9" t="e">
        <f t="shared" si="0"/>
        <v>#REF!</v>
      </c>
      <c r="I10" s="9" t="e">
        <f t="shared" si="0"/>
        <v>#REF!</v>
      </c>
      <c r="J10" s="9">
        <f t="shared" si="0"/>
        <v>98702.52100000001</v>
      </c>
      <c r="K10" s="9">
        <f t="shared" si="0"/>
        <v>339944.531</v>
      </c>
      <c r="L10" s="9">
        <f t="shared" si="0"/>
        <v>345143.42162000004</v>
      </c>
      <c r="M10" s="9">
        <f t="shared" si="0"/>
        <v>350446.2900524</v>
      </c>
      <c r="N10" s="2"/>
      <c r="O10" s="2"/>
      <c r="P10" s="2"/>
      <c r="Q10" s="2"/>
      <c r="R10" s="2"/>
    </row>
    <row r="11" spans="2:18" ht="15">
      <c r="B11" s="37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10" t="s">
        <v>13</v>
      </c>
      <c r="C12" s="12">
        <v>7000</v>
      </c>
      <c r="D12" s="12">
        <f>C12/2</f>
        <v>3500</v>
      </c>
      <c r="E12" s="12">
        <v>545</v>
      </c>
      <c r="F12" s="9"/>
      <c r="G12" s="9"/>
      <c r="H12" s="12">
        <f>E12+F12-D12</f>
        <v>-2955</v>
      </c>
      <c r="I12" s="12"/>
      <c r="J12" s="12">
        <v>8500</v>
      </c>
      <c r="K12" s="12">
        <v>8500</v>
      </c>
      <c r="L12" s="12">
        <v>8500</v>
      </c>
      <c r="M12" s="12">
        <v>8500</v>
      </c>
      <c r="N12" s="2"/>
      <c r="O12" s="2"/>
      <c r="P12" s="2"/>
      <c r="Q12" s="2"/>
      <c r="R12" s="2"/>
    </row>
    <row r="13" spans="2:18" ht="15">
      <c r="B13" s="37" t="s">
        <v>104</v>
      </c>
      <c r="C13" s="9">
        <f>C12</f>
        <v>7000</v>
      </c>
      <c r="D13" s="9">
        <f aca="true" t="shared" si="1" ref="D13:M13">D12</f>
        <v>3500</v>
      </c>
      <c r="E13" s="9">
        <f t="shared" si="1"/>
        <v>545</v>
      </c>
      <c r="F13" s="9">
        <f t="shared" si="1"/>
        <v>0</v>
      </c>
      <c r="G13" s="9">
        <f t="shared" si="1"/>
        <v>0</v>
      </c>
      <c r="H13" s="9">
        <f t="shared" si="1"/>
        <v>-2955</v>
      </c>
      <c r="I13" s="9">
        <f t="shared" si="1"/>
        <v>0</v>
      </c>
      <c r="J13" s="9">
        <f>J12</f>
        <v>8500</v>
      </c>
      <c r="K13" s="9">
        <f t="shared" si="1"/>
        <v>8500</v>
      </c>
      <c r="L13" s="9">
        <f t="shared" si="1"/>
        <v>8500</v>
      </c>
      <c r="M13" s="9">
        <f t="shared" si="1"/>
        <v>8500</v>
      </c>
      <c r="N13" s="2"/>
      <c r="O13" s="2"/>
      <c r="P13" s="2"/>
      <c r="Q13" s="2"/>
      <c r="R13" s="2"/>
    </row>
    <row r="14" spans="2:18" ht="15">
      <c r="B14" s="3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10" t="s">
        <v>105</v>
      </c>
      <c r="C15" s="12">
        <v>1500</v>
      </c>
      <c r="D15" s="12">
        <f>C15/2</f>
        <v>750</v>
      </c>
      <c r="E15" s="9"/>
      <c r="F15" s="9"/>
      <c r="G15" s="9"/>
      <c r="H15" s="12">
        <f>E15+F15-D15</f>
        <v>-750</v>
      </c>
      <c r="I15" s="12"/>
      <c r="J15" s="12">
        <v>500</v>
      </c>
      <c r="K15" s="12">
        <v>1000</v>
      </c>
      <c r="L15" s="12">
        <v>1000</v>
      </c>
      <c r="M15" s="12">
        <v>1000</v>
      </c>
      <c r="N15" s="2"/>
      <c r="O15" s="2"/>
      <c r="P15" s="2"/>
      <c r="Q15" s="2"/>
      <c r="R15" s="2"/>
    </row>
    <row r="16" spans="2:18" ht="15">
      <c r="B16" s="37" t="s">
        <v>106</v>
      </c>
      <c r="C16" s="9">
        <f aca="true" t="shared" si="2" ref="C16:M16">C15</f>
        <v>1500</v>
      </c>
      <c r="D16" s="9">
        <f t="shared" si="2"/>
        <v>750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-750</v>
      </c>
      <c r="I16" s="9">
        <f t="shared" si="2"/>
        <v>0</v>
      </c>
      <c r="J16" s="9">
        <f>J15</f>
        <v>500</v>
      </c>
      <c r="K16" s="9">
        <f t="shared" si="2"/>
        <v>1000</v>
      </c>
      <c r="L16" s="9">
        <f t="shared" si="2"/>
        <v>1000</v>
      </c>
      <c r="M16" s="9">
        <f t="shared" si="2"/>
        <v>1000</v>
      </c>
      <c r="N16" s="2"/>
      <c r="O16" s="2"/>
      <c r="P16" s="2"/>
      <c r="Q16" s="2"/>
      <c r="R16" s="2"/>
    </row>
    <row r="17" spans="2:18" ht="15">
      <c r="B17" s="3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"/>
      <c r="O17" s="2"/>
      <c r="P17" s="2"/>
      <c r="Q17" s="2"/>
      <c r="R17" s="2"/>
    </row>
    <row r="18" spans="2:18" ht="15">
      <c r="B18" s="34" t="s">
        <v>14</v>
      </c>
      <c r="C18" s="33">
        <v>2000</v>
      </c>
      <c r="D18" s="12">
        <f aca="true" t="shared" si="3" ref="D18:D33">C18/2</f>
        <v>1000</v>
      </c>
      <c r="E18" s="9"/>
      <c r="F18" s="9"/>
      <c r="G18" s="9"/>
      <c r="H18" s="12">
        <f aca="true" t="shared" si="4" ref="H18:H34">E18+F18-D18</f>
        <v>-1000</v>
      </c>
      <c r="I18" s="12"/>
      <c r="J18" s="33">
        <v>1000</v>
      </c>
      <c r="K18" s="33">
        <v>2000</v>
      </c>
      <c r="L18" s="33">
        <v>2000</v>
      </c>
      <c r="M18" s="33">
        <v>2000</v>
      </c>
      <c r="N18" s="2"/>
      <c r="O18" s="2"/>
      <c r="P18" s="2"/>
      <c r="Q18" s="2"/>
      <c r="R18" s="2"/>
    </row>
    <row r="19" spans="2:18" ht="15">
      <c r="B19" s="34" t="s">
        <v>15</v>
      </c>
      <c r="C19" s="33">
        <v>5000</v>
      </c>
      <c r="D19" s="12">
        <f t="shared" si="3"/>
        <v>2500</v>
      </c>
      <c r="E19" s="9"/>
      <c r="F19" s="9"/>
      <c r="G19" s="9"/>
      <c r="H19" s="12">
        <f t="shared" si="4"/>
        <v>-2500</v>
      </c>
      <c r="I19" s="12"/>
      <c r="J19" s="33">
        <v>1000</v>
      </c>
      <c r="K19" s="33">
        <v>2000</v>
      </c>
      <c r="L19" s="33">
        <v>2000</v>
      </c>
      <c r="M19" s="33">
        <v>2000</v>
      </c>
      <c r="N19" s="2"/>
      <c r="O19" s="2"/>
      <c r="P19" s="2"/>
      <c r="Q19" s="2"/>
      <c r="R19" s="2"/>
    </row>
    <row r="20" spans="2:18" ht="15">
      <c r="B20" s="34" t="s">
        <v>16</v>
      </c>
      <c r="C20" s="33">
        <v>2500</v>
      </c>
      <c r="D20" s="12">
        <f t="shared" si="3"/>
        <v>1250</v>
      </c>
      <c r="E20" s="12">
        <v>80</v>
      </c>
      <c r="F20" s="12"/>
      <c r="G20" s="12"/>
      <c r="H20" s="12">
        <f t="shared" si="4"/>
        <v>-1170</v>
      </c>
      <c r="I20" s="12"/>
      <c r="J20" s="33">
        <v>1000</v>
      </c>
      <c r="K20" s="33">
        <v>2500</v>
      </c>
      <c r="L20" s="33">
        <v>2500</v>
      </c>
      <c r="M20" s="33">
        <v>2500</v>
      </c>
      <c r="N20" s="2"/>
      <c r="O20" s="2"/>
      <c r="P20" s="2"/>
      <c r="Q20" s="2"/>
      <c r="R20" s="2"/>
    </row>
    <row r="21" spans="2:18" ht="15">
      <c r="B21" s="34" t="s">
        <v>17</v>
      </c>
      <c r="C21" s="33">
        <v>4000</v>
      </c>
      <c r="D21" s="12">
        <f t="shared" si="3"/>
        <v>2000</v>
      </c>
      <c r="E21" s="9"/>
      <c r="F21" s="9"/>
      <c r="G21" s="9"/>
      <c r="H21" s="12">
        <f t="shared" si="4"/>
        <v>-2000</v>
      </c>
      <c r="I21" s="12"/>
      <c r="J21" s="33">
        <v>1000</v>
      </c>
      <c r="K21" s="33">
        <v>1000</v>
      </c>
      <c r="L21" s="33">
        <v>1000</v>
      </c>
      <c r="M21" s="33">
        <v>1000</v>
      </c>
      <c r="N21" s="2"/>
      <c r="O21" s="2"/>
      <c r="P21" s="2"/>
      <c r="Q21" s="2"/>
      <c r="R21" s="2"/>
    </row>
    <row r="22" spans="2:18" ht="15">
      <c r="B22" s="34" t="s">
        <v>18</v>
      </c>
      <c r="C22" s="33">
        <v>7000</v>
      </c>
      <c r="D22" s="12">
        <f t="shared" si="3"/>
        <v>3500</v>
      </c>
      <c r="E22" s="9"/>
      <c r="F22" s="9"/>
      <c r="G22" s="9"/>
      <c r="H22" s="12">
        <f t="shared" si="4"/>
        <v>-3500</v>
      </c>
      <c r="I22" s="12"/>
      <c r="J22" s="33">
        <v>500</v>
      </c>
      <c r="K22" s="33">
        <v>0</v>
      </c>
      <c r="L22" s="33">
        <v>0</v>
      </c>
      <c r="M22" s="33">
        <v>0</v>
      </c>
      <c r="N22" s="2"/>
      <c r="O22" s="2"/>
      <c r="P22" s="2"/>
      <c r="Q22" s="2"/>
      <c r="R22" s="2"/>
    </row>
    <row r="23" spans="2:18" ht="15">
      <c r="B23" s="34" t="s">
        <v>19</v>
      </c>
      <c r="C23" s="33">
        <v>2000</v>
      </c>
      <c r="D23" s="12">
        <f t="shared" si="3"/>
        <v>1000</v>
      </c>
      <c r="E23" s="9"/>
      <c r="F23" s="9"/>
      <c r="G23" s="9"/>
      <c r="H23" s="12">
        <f t="shared" si="4"/>
        <v>-1000</v>
      </c>
      <c r="I23" s="12"/>
      <c r="J23" s="33">
        <v>1000</v>
      </c>
      <c r="K23" s="33">
        <v>1000</v>
      </c>
      <c r="L23" s="33">
        <v>1000</v>
      </c>
      <c r="M23" s="33">
        <v>1000</v>
      </c>
      <c r="N23" s="2"/>
      <c r="O23" s="2"/>
      <c r="P23" s="2"/>
      <c r="Q23" s="2"/>
      <c r="R23" s="2"/>
    </row>
    <row r="24" spans="2:18" ht="15">
      <c r="B24" s="34" t="s">
        <v>20</v>
      </c>
      <c r="C24" s="33">
        <v>3000</v>
      </c>
      <c r="D24" s="12">
        <v>0</v>
      </c>
      <c r="E24" s="9"/>
      <c r="F24" s="9"/>
      <c r="G24" s="9"/>
      <c r="H24" s="12">
        <f t="shared" si="4"/>
        <v>0</v>
      </c>
      <c r="I24" s="12"/>
      <c r="J24" s="33">
        <v>3000</v>
      </c>
      <c r="K24" s="33">
        <v>3000</v>
      </c>
      <c r="L24" s="33">
        <v>3000</v>
      </c>
      <c r="M24" s="33">
        <v>3000</v>
      </c>
      <c r="N24" s="2"/>
      <c r="O24" s="2"/>
      <c r="P24" s="2"/>
      <c r="Q24" s="2"/>
      <c r="R24" s="2"/>
    </row>
    <row r="25" spans="2:18" ht="15">
      <c r="B25" s="34" t="s">
        <v>21</v>
      </c>
      <c r="C25" s="33">
        <v>1000</v>
      </c>
      <c r="D25" s="12">
        <v>0</v>
      </c>
      <c r="E25" s="9"/>
      <c r="F25" s="9"/>
      <c r="G25" s="9"/>
      <c r="H25" s="12">
        <f t="shared" si="4"/>
        <v>0</v>
      </c>
      <c r="I25" s="12"/>
      <c r="J25" s="33">
        <v>1000</v>
      </c>
      <c r="K25" s="33">
        <v>1000</v>
      </c>
      <c r="L25" s="33">
        <v>1000</v>
      </c>
      <c r="M25" s="33">
        <v>1000</v>
      </c>
      <c r="N25" s="2"/>
      <c r="O25" s="2"/>
      <c r="P25" s="2"/>
      <c r="Q25" s="2"/>
      <c r="R25" s="2"/>
    </row>
    <row r="26" spans="2:18" ht="15">
      <c r="B26" s="34" t="s">
        <v>22</v>
      </c>
      <c r="C26" s="33">
        <v>16000</v>
      </c>
      <c r="D26" s="12">
        <v>16000</v>
      </c>
      <c r="E26" s="12">
        <v>26316</v>
      </c>
      <c r="F26" s="12"/>
      <c r="G26" s="12"/>
      <c r="H26" s="12">
        <f t="shared" si="4"/>
        <v>10316</v>
      </c>
      <c r="I26" s="12"/>
      <c r="J26" s="12">
        <v>26316</v>
      </c>
      <c r="K26" s="12">
        <f>J26*1.05</f>
        <v>27631.800000000003</v>
      </c>
      <c r="L26" s="12">
        <f>K26*1.03</f>
        <v>28460.754000000004</v>
      </c>
      <c r="M26" s="12">
        <f>L26*1.03</f>
        <v>29314.576620000007</v>
      </c>
      <c r="N26" s="2"/>
      <c r="O26" s="2"/>
      <c r="P26" s="2"/>
      <c r="Q26" s="2"/>
      <c r="R26" s="2"/>
    </row>
    <row r="27" spans="2:18" ht="15">
      <c r="B27" s="34" t="s">
        <v>23</v>
      </c>
      <c r="C27" s="33">
        <v>3000</v>
      </c>
      <c r="D27" s="12">
        <f t="shared" si="3"/>
        <v>1500</v>
      </c>
      <c r="E27" s="12">
        <v>73</v>
      </c>
      <c r="F27" s="12"/>
      <c r="G27" s="12"/>
      <c r="H27" s="12">
        <f t="shared" si="4"/>
        <v>-1427</v>
      </c>
      <c r="I27" s="12"/>
      <c r="J27" s="33">
        <v>7000</v>
      </c>
      <c r="K27" s="33">
        <v>3000</v>
      </c>
      <c r="L27" s="33">
        <v>3000</v>
      </c>
      <c r="M27" s="33">
        <v>3000</v>
      </c>
      <c r="N27" s="2"/>
      <c r="O27" s="2"/>
      <c r="P27" s="2"/>
      <c r="Q27" s="2"/>
      <c r="R27" s="2"/>
    </row>
    <row r="28" spans="2:18" ht="15">
      <c r="B28" s="34" t="s">
        <v>212</v>
      </c>
      <c r="C28" s="33">
        <v>10000</v>
      </c>
      <c r="D28" s="12">
        <f t="shared" si="3"/>
        <v>5000</v>
      </c>
      <c r="E28" s="12">
        <v>460</v>
      </c>
      <c r="F28" s="12"/>
      <c r="G28" s="12"/>
      <c r="H28" s="12">
        <f t="shared" si="4"/>
        <v>-4540</v>
      </c>
      <c r="I28" s="12"/>
      <c r="J28" s="33">
        <v>10000</v>
      </c>
      <c r="K28" s="33">
        <v>12900</v>
      </c>
      <c r="L28" s="12">
        <f>K28*1.03</f>
        <v>13287</v>
      </c>
      <c r="M28" s="12">
        <f>L28*1.03</f>
        <v>13685.61</v>
      </c>
      <c r="N28" s="2"/>
      <c r="O28" s="2"/>
      <c r="P28" s="2"/>
      <c r="Q28" s="2"/>
      <c r="R28" s="2"/>
    </row>
    <row r="29" spans="2:18" ht="15">
      <c r="B29" s="34" t="s">
        <v>24</v>
      </c>
      <c r="C29" s="33">
        <v>3000</v>
      </c>
      <c r="D29" s="12">
        <f t="shared" si="3"/>
        <v>1500</v>
      </c>
      <c r="E29" s="12">
        <v>38</v>
      </c>
      <c r="F29" s="9"/>
      <c r="G29" s="9"/>
      <c r="H29" s="12">
        <f t="shared" si="4"/>
        <v>-1462</v>
      </c>
      <c r="I29" s="12"/>
      <c r="J29" s="33">
        <v>1000</v>
      </c>
      <c r="K29" s="33">
        <v>1000</v>
      </c>
      <c r="L29" s="33">
        <v>1000</v>
      </c>
      <c r="M29" s="33">
        <v>1000</v>
      </c>
      <c r="N29" s="2"/>
      <c r="O29" s="2"/>
      <c r="P29" s="2"/>
      <c r="Q29" s="2"/>
      <c r="R29" s="2"/>
    </row>
    <row r="30" spans="2:18" ht="15">
      <c r="B30" s="34" t="s">
        <v>25</v>
      </c>
      <c r="C30" s="33">
        <v>2000</v>
      </c>
      <c r="D30" s="12">
        <f t="shared" si="3"/>
        <v>1000</v>
      </c>
      <c r="E30" s="9"/>
      <c r="F30" s="9"/>
      <c r="G30" s="9"/>
      <c r="H30" s="12">
        <f t="shared" si="4"/>
        <v>-1000</v>
      </c>
      <c r="I30" s="12"/>
      <c r="J30" s="33">
        <v>500</v>
      </c>
      <c r="K30" s="33">
        <v>1000</v>
      </c>
      <c r="L30" s="33">
        <v>1000</v>
      </c>
      <c r="M30" s="33">
        <v>1000</v>
      </c>
      <c r="N30" s="2"/>
      <c r="O30" s="2"/>
      <c r="P30" s="2"/>
      <c r="Q30" s="2"/>
      <c r="R30" s="2"/>
    </row>
    <row r="31" spans="2:18" ht="15">
      <c r="B31" s="34" t="s">
        <v>194</v>
      </c>
      <c r="C31" s="33">
        <v>3000</v>
      </c>
      <c r="D31" s="12">
        <f t="shared" si="3"/>
        <v>1500</v>
      </c>
      <c r="E31" s="12">
        <v>55</v>
      </c>
      <c r="F31" s="9"/>
      <c r="G31" s="9"/>
      <c r="H31" s="12">
        <f t="shared" si="4"/>
        <v>-1445</v>
      </c>
      <c r="I31" s="12"/>
      <c r="J31" s="33">
        <v>1500</v>
      </c>
      <c r="K31" s="33">
        <v>1500</v>
      </c>
      <c r="L31" s="33">
        <v>1500</v>
      </c>
      <c r="M31" s="33">
        <v>1500</v>
      </c>
      <c r="N31" s="2"/>
      <c r="O31" s="2"/>
      <c r="P31" s="2"/>
      <c r="Q31" s="2"/>
      <c r="R31" s="2"/>
    </row>
    <row r="32" spans="2:18" ht="15">
      <c r="B32" s="34" t="s">
        <v>117</v>
      </c>
      <c r="C32" s="33">
        <v>0</v>
      </c>
      <c r="D32" s="12">
        <f t="shared" si="3"/>
        <v>0</v>
      </c>
      <c r="E32" s="9"/>
      <c r="F32" s="9"/>
      <c r="G32" s="9"/>
      <c r="H32" s="12">
        <f t="shared" si="4"/>
        <v>0</v>
      </c>
      <c r="I32" s="12"/>
      <c r="J32" s="33">
        <v>19200</v>
      </c>
      <c r="K32" s="33">
        <v>0</v>
      </c>
      <c r="L32" s="33">
        <v>0</v>
      </c>
      <c r="M32" s="33">
        <v>0</v>
      </c>
      <c r="N32" s="2"/>
      <c r="O32" s="2"/>
      <c r="P32" s="2"/>
      <c r="Q32" s="2"/>
      <c r="R32" s="2"/>
    </row>
    <row r="33" spans="2:18" ht="15">
      <c r="B33" s="34" t="s">
        <v>192</v>
      </c>
      <c r="C33" s="33">
        <v>0</v>
      </c>
      <c r="D33" s="12">
        <f t="shared" si="3"/>
        <v>0</v>
      </c>
      <c r="E33" s="9"/>
      <c r="F33" s="9"/>
      <c r="G33" s="9"/>
      <c r="H33" s="12">
        <f t="shared" si="4"/>
        <v>0</v>
      </c>
      <c r="I33" s="12"/>
      <c r="J33" s="33">
        <v>50000</v>
      </c>
      <c r="K33" s="33">
        <v>0</v>
      </c>
      <c r="L33" s="33">
        <v>0</v>
      </c>
      <c r="M33" s="33">
        <v>0</v>
      </c>
      <c r="N33" s="2"/>
      <c r="O33" s="2"/>
      <c r="P33" s="2"/>
      <c r="Q33" s="2"/>
      <c r="R33" s="2"/>
    </row>
    <row r="34" spans="2:18" ht="15">
      <c r="B34" s="10" t="s">
        <v>12</v>
      </c>
      <c r="C34" s="12">
        <v>39660</v>
      </c>
      <c r="D34" s="12">
        <v>39660</v>
      </c>
      <c r="E34" s="9"/>
      <c r="F34" s="9"/>
      <c r="G34" s="9"/>
      <c r="H34" s="12">
        <f t="shared" si="4"/>
        <v>-39660</v>
      </c>
      <c r="I34" s="12"/>
      <c r="J34" s="12">
        <v>21500</v>
      </c>
      <c r="K34" s="12">
        <v>20000</v>
      </c>
      <c r="L34" s="12">
        <v>20000</v>
      </c>
      <c r="M34" s="12">
        <v>20000</v>
      </c>
      <c r="N34" s="2"/>
      <c r="O34" s="2"/>
      <c r="P34" s="2"/>
      <c r="Q34" s="2"/>
      <c r="R34" s="2"/>
    </row>
    <row r="35" spans="2:18" ht="15">
      <c r="B35" s="17" t="s">
        <v>79</v>
      </c>
      <c r="C35" s="9">
        <f aca="true" t="shared" si="5" ref="C35:M35">SUM(C18:C34)</f>
        <v>103160</v>
      </c>
      <c r="D35" s="9">
        <f t="shared" si="5"/>
        <v>77410</v>
      </c>
      <c r="E35" s="9">
        <f t="shared" si="5"/>
        <v>27022</v>
      </c>
      <c r="F35" s="9">
        <f t="shared" si="5"/>
        <v>0</v>
      </c>
      <c r="G35" s="9">
        <f t="shared" si="5"/>
        <v>0</v>
      </c>
      <c r="H35" s="9">
        <f t="shared" si="5"/>
        <v>-50388</v>
      </c>
      <c r="I35" s="9">
        <f t="shared" si="5"/>
        <v>0</v>
      </c>
      <c r="J35" s="9">
        <f t="shared" si="5"/>
        <v>146516</v>
      </c>
      <c r="K35" s="9">
        <f t="shared" si="5"/>
        <v>79531.8</v>
      </c>
      <c r="L35" s="9">
        <f t="shared" si="5"/>
        <v>80747.754</v>
      </c>
      <c r="M35" s="9">
        <f t="shared" si="5"/>
        <v>82000.18662000001</v>
      </c>
      <c r="N35" s="2"/>
      <c r="O35" s="2"/>
      <c r="P35" s="2"/>
      <c r="Q35" s="2"/>
      <c r="R35" s="2"/>
    </row>
    <row r="36" spans="2:18" ht="15"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</row>
    <row r="37" spans="2:18" ht="15">
      <c r="B37" s="7" t="s">
        <v>36</v>
      </c>
      <c r="C37" s="12">
        <v>7000</v>
      </c>
      <c r="D37" s="9"/>
      <c r="E37" s="9"/>
      <c r="F37" s="9"/>
      <c r="G37" s="9"/>
      <c r="H37" s="12">
        <f>E37+F37-D37</f>
        <v>0</v>
      </c>
      <c r="I37" s="12"/>
      <c r="J37" s="12">
        <v>0</v>
      </c>
      <c r="K37" s="12">
        <v>7000</v>
      </c>
      <c r="L37" s="12">
        <v>7000</v>
      </c>
      <c r="M37" s="12">
        <v>7000</v>
      </c>
      <c r="N37" s="2"/>
      <c r="O37" s="2"/>
      <c r="P37" s="2"/>
      <c r="Q37" s="2"/>
      <c r="R37" s="2"/>
    </row>
    <row r="38" spans="2:18" ht="15">
      <c r="B38" s="17" t="s">
        <v>107</v>
      </c>
      <c r="C38" s="9">
        <f>C37</f>
        <v>7000</v>
      </c>
      <c r="D38" s="9">
        <f aca="true" t="shared" si="6" ref="D38:M38">D37</f>
        <v>0</v>
      </c>
      <c r="E38" s="9">
        <f t="shared" si="6"/>
        <v>0</v>
      </c>
      <c r="F38" s="9">
        <f t="shared" si="6"/>
        <v>0</v>
      </c>
      <c r="G38" s="9">
        <f t="shared" si="6"/>
        <v>0</v>
      </c>
      <c r="H38" s="9">
        <f t="shared" si="6"/>
        <v>0</v>
      </c>
      <c r="I38" s="9">
        <f t="shared" si="6"/>
        <v>0</v>
      </c>
      <c r="J38" s="9">
        <f>J37</f>
        <v>0</v>
      </c>
      <c r="K38" s="9">
        <f t="shared" si="6"/>
        <v>7000</v>
      </c>
      <c r="L38" s="9">
        <f t="shared" si="6"/>
        <v>7000</v>
      </c>
      <c r="M38" s="9">
        <f t="shared" si="6"/>
        <v>7000</v>
      </c>
      <c r="N38" s="2"/>
      <c r="O38" s="2"/>
      <c r="P38" s="2"/>
      <c r="Q38" s="2"/>
      <c r="R38" s="2"/>
    </row>
    <row r="39" spans="2:18" ht="15">
      <c r="B39" s="1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</row>
    <row r="40" spans="2:18" ht="15">
      <c r="B40" s="7" t="s">
        <v>38</v>
      </c>
      <c r="C40" s="12">
        <v>100000</v>
      </c>
      <c r="D40" s="9"/>
      <c r="E40" s="9"/>
      <c r="F40" s="9"/>
      <c r="G40" s="9"/>
      <c r="H40" s="12">
        <f>E40+F40-D40</f>
        <v>0</v>
      </c>
      <c r="I40" s="12"/>
      <c r="J40" s="12">
        <v>0</v>
      </c>
      <c r="K40" s="12">
        <v>50000</v>
      </c>
      <c r="L40" s="12">
        <v>50000</v>
      </c>
      <c r="M40" s="12">
        <v>50000</v>
      </c>
      <c r="N40" s="2"/>
      <c r="O40" s="2"/>
      <c r="P40" s="2"/>
      <c r="Q40" s="2"/>
      <c r="R40" s="2"/>
    </row>
    <row r="41" spans="2:18" ht="15">
      <c r="B41" s="17" t="s">
        <v>108</v>
      </c>
      <c r="C41" s="9">
        <f aca="true" t="shared" si="7" ref="C41:M41">SUM(C40:C40)</f>
        <v>100000</v>
      </c>
      <c r="D41" s="9">
        <f t="shared" si="7"/>
        <v>0</v>
      </c>
      <c r="E41" s="9">
        <f t="shared" si="7"/>
        <v>0</v>
      </c>
      <c r="F41" s="9">
        <f t="shared" si="7"/>
        <v>0</v>
      </c>
      <c r="G41" s="9">
        <f t="shared" si="7"/>
        <v>0</v>
      </c>
      <c r="H41" s="9">
        <f t="shared" si="7"/>
        <v>0</v>
      </c>
      <c r="I41" s="9">
        <f t="shared" si="7"/>
        <v>0</v>
      </c>
      <c r="J41" s="9">
        <f t="shared" si="7"/>
        <v>0</v>
      </c>
      <c r="K41" s="9">
        <f t="shared" si="7"/>
        <v>50000</v>
      </c>
      <c r="L41" s="9">
        <f t="shared" si="7"/>
        <v>50000</v>
      </c>
      <c r="M41" s="9">
        <f t="shared" si="7"/>
        <v>50000</v>
      </c>
      <c r="N41" s="2"/>
      <c r="O41" s="2"/>
      <c r="P41" s="2"/>
      <c r="Q41" s="2"/>
      <c r="R41" s="2"/>
    </row>
    <row r="42" spans="2:18" ht="15">
      <c r="B42" s="7"/>
      <c r="C42" s="12"/>
      <c r="D42" s="9"/>
      <c r="E42" s="9"/>
      <c r="F42" s="9"/>
      <c r="G42" s="9"/>
      <c r="H42" s="9"/>
      <c r="I42" s="9"/>
      <c r="J42" s="9"/>
      <c r="K42" s="9"/>
      <c r="L42" s="9"/>
      <c r="M42" s="9"/>
      <c r="N42" s="2"/>
      <c r="O42" s="2"/>
      <c r="P42" s="2"/>
      <c r="Q42" s="2"/>
      <c r="R42" s="2"/>
    </row>
    <row r="43" spans="2:18" ht="15">
      <c r="B43" s="5" t="s">
        <v>62</v>
      </c>
      <c r="C43" s="9">
        <f aca="true" t="shared" si="8" ref="C43:M43">C10+C13+C16+C35+C38+C41</f>
        <v>455260</v>
      </c>
      <c r="D43" s="9" t="e">
        <f t="shared" si="8"/>
        <v>#REF!</v>
      </c>
      <c r="E43" s="9" t="e">
        <f t="shared" si="8"/>
        <v>#REF!</v>
      </c>
      <c r="F43" s="9" t="e">
        <f t="shared" si="8"/>
        <v>#REF!</v>
      </c>
      <c r="G43" s="9" t="e">
        <f t="shared" si="8"/>
        <v>#REF!</v>
      </c>
      <c r="H43" s="9" t="e">
        <f t="shared" si="8"/>
        <v>#REF!</v>
      </c>
      <c r="I43" s="9" t="e">
        <f t="shared" si="8"/>
        <v>#REF!</v>
      </c>
      <c r="J43" s="9">
        <f t="shared" si="8"/>
        <v>254218.521</v>
      </c>
      <c r="K43" s="9">
        <f t="shared" si="8"/>
        <v>485976.331</v>
      </c>
      <c r="L43" s="9">
        <f t="shared" si="8"/>
        <v>492391.17562000005</v>
      </c>
      <c r="M43" s="9">
        <f t="shared" si="8"/>
        <v>498946.4766724</v>
      </c>
      <c r="N43" s="2"/>
      <c r="O43" s="2"/>
      <c r="P43" s="2"/>
      <c r="Q43" s="2"/>
      <c r="R43" s="2"/>
    </row>
    <row r="44" spans="2:18" ht="15">
      <c r="B44" s="5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"/>
      <c r="O44" s="2"/>
      <c r="P44" s="2"/>
      <c r="Q44" s="2"/>
      <c r="R44" s="2"/>
    </row>
    <row r="45" spans="2:18" ht="15">
      <c r="B45" s="5" t="s">
        <v>0</v>
      </c>
      <c r="C45" s="9">
        <f aca="true" t="shared" si="9" ref="C45:M45">SUM(C44:C44)</f>
        <v>0</v>
      </c>
      <c r="D45" s="9">
        <f t="shared" si="9"/>
        <v>0</v>
      </c>
      <c r="E45" s="9">
        <f t="shared" si="9"/>
        <v>0</v>
      </c>
      <c r="F45" s="9">
        <f t="shared" si="9"/>
        <v>0</v>
      </c>
      <c r="G45" s="9">
        <f t="shared" si="9"/>
        <v>0</v>
      </c>
      <c r="H45" s="9">
        <f t="shared" si="9"/>
        <v>0</v>
      </c>
      <c r="I45" s="9">
        <f t="shared" si="9"/>
        <v>0</v>
      </c>
      <c r="J45" s="9">
        <f t="shared" si="9"/>
        <v>0</v>
      </c>
      <c r="K45" s="9">
        <v>-15000</v>
      </c>
      <c r="L45" s="9">
        <f t="shared" si="9"/>
        <v>0</v>
      </c>
      <c r="M45" s="9">
        <f t="shared" si="9"/>
        <v>0</v>
      </c>
      <c r="N45" s="2"/>
      <c r="O45" s="2"/>
      <c r="P45" s="2"/>
      <c r="Q45" s="2"/>
      <c r="R45" s="2"/>
    </row>
    <row r="46" spans="2:18" ht="15">
      <c r="B46" s="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"/>
      <c r="O46" s="2"/>
      <c r="P46" s="2"/>
      <c r="Q46" s="2"/>
      <c r="R46" s="2"/>
    </row>
    <row r="47" spans="2:18" ht="15">
      <c r="B47" s="5" t="s">
        <v>65</v>
      </c>
      <c r="C47" s="9">
        <f aca="true" t="shared" si="10" ref="C47:M47">C43+C45</f>
        <v>455260</v>
      </c>
      <c r="D47" s="9" t="e">
        <f t="shared" si="10"/>
        <v>#REF!</v>
      </c>
      <c r="E47" s="9" t="e">
        <f t="shared" si="10"/>
        <v>#REF!</v>
      </c>
      <c r="F47" s="9" t="e">
        <f t="shared" si="10"/>
        <v>#REF!</v>
      </c>
      <c r="G47" s="9" t="e">
        <f t="shared" si="10"/>
        <v>#REF!</v>
      </c>
      <c r="H47" s="9" t="e">
        <f t="shared" si="10"/>
        <v>#REF!</v>
      </c>
      <c r="I47" s="9" t="e">
        <f t="shared" si="10"/>
        <v>#REF!</v>
      </c>
      <c r="J47" s="9">
        <f t="shared" si="10"/>
        <v>254218.521</v>
      </c>
      <c r="K47" s="9">
        <f t="shared" si="10"/>
        <v>470976.331</v>
      </c>
      <c r="L47" s="9">
        <f t="shared" si="10"/>
        <v>492391.17562000005</v>
      </c>
      <c r="M47" s="9">
        <f t="shared" si="10"/>
        <v>498946.4766724</v>
      </c>
      <c r="N47" s="2"/>
      <c r="O47" s="2"/>
      <c r="P47" s="2"/>
      <c r="Q47" s="2"/>
      <c r="R47" s="2"/>
    </row>
    <row r="49" ht="15">
      <c r="B49" s="23"/>
    </row>
    <row r="51" ht="15">
      <c r="B51" s="19"/>
    </row>
    <row r="52" ht="15">
      <c r="B52" s="19"/>
    </row>
    <row r="59" ht="15">
      <c r="B59" s="3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zoomScalePageLayoutView="0" workbookViewId="0" topLeftCell="A28">
      <selection activeCell="AD21" sqref="AD21"/>
    </sheetView>
  </sheetViews>
  <sheetFormatPr defaultColWidth="9.140625" defaultRowHeight="15"/>
  <cols>
    <col min="1" max="1" width="46.00390625" style="41" bestFit="1" customWidth="1"/>
    <col min="2" max="2" width="12.7109375" style="48" hidden="1" customWidth="1"/>
    <col min="3" max="3" width="12.57421875" style="41" hidden="1" customWidth="1"/>
    <col min="4" max="4" width="11.7109375" style="41" hidden="1" customWidth="1"/>
    <col min="5" max="5" width="15.7109375" style="43" hidden="1" customWidth="1"/>
    <col min="6" max="12" width="9.7109375" style="40" hidden="1" customWidth="1"/>
    <col min="13" max="14" width="11.00390625" style="40" hidden="1" customWidth="1"/>
    <col min="15" max="15" width="12.28125" style="44" customWidth="1"/>
    <col min="16" max="16" width="11.00390625" style="40" hidden="1" customWidth="1"/>
    <col min="17" max="17" width="11.00390625" style="40" customWidth="1"/>
    <col min="18" max="19" width="11.00390625" style="40" hidden="1" customWidth="1"/>
    <col min="20" max="20" width="11.00390625" style="40" customWidth="1"/>
    <col min="21" max="21" width="9.7109375" style="40" hidden="1" customWidth="1"/>
    <col min="22" max="22" width="12.28125" style="40" customWidth="1"/>
    <col min="23" max="23" width="11.00390625" style="41" hidden="1" customWidth="1"/>
    <col min="24" max="24" width="11.00390625" style="41" customWidth="1"/>
    <col min="25" max="25" width="10.28125" style="41" hidden="1" customWidth="1"/>
    <col min="26" max="26" width="11.00390625" style="41" customWidth="1"/>
    <col min="27" max="27" width="9.7109375" style="41" hidden="1" customWidth="1"/>
    <col min="28" max="28" width="12.28125" style="41" customWidth="1"/>
    <col min="29" max="29" width="10.421875" style="41" hidden="1" customWidth="1"/>
    <col min="30" max="30" width="11.00390625" style="41" customWidth="1"/>
    <col min="31" max="31" width="10.7109375" style="41" hidden="1" customWidth="1"/>
    <col min="32" max="32" width="11.00390625" style="41" customWidth="1"/>
    <col min="33" max="33" width="9.140625" style="41" hidden="1" customWidth="1"/>
    <col min="34" max="34" width="12.28125" style="41" customWidth="1"/>
    <col min="35" max="35" width="11.00390625" style="41" hidden="1" customWidth="1"/>
    <col min="36" max="36" width="11.00390625" style="41" customWidth="1"/>
    <col min="37" max="37" width="12.140625" style="41" hidden="1" customWidth="1"/>
    <col min="38" max="38" width="11.00390625" style="41" customWidth="1"/>
    <col min="39" max="39" width="9.140625" style="41" hidden="1" customWidth="1"/>
    <col min="40" max="40" width="12.28125" style="41" customWidth="1"/>
    <col min="41" max="41" width="2.57421875" style="41" customWidth="1"/>
    <col min="42" max="16384" width="9.140625" style="41" customWidth="1"/>
  </cols>
  <sheetData>
    <row r="1" spans="1:20" ht="15.75" hidden="1" thickBot="1">
      <c r="A1" s="38"/>
      <c r="B1" s="125"/>
      <c r="C1" s="125"/>
      <c r="D1" s="125"/>
      <c r="E1" s="125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39"/>
      <c r="T1" s="39"/>
    </row>
    <row r="2" spans="1:22" ht="15.75" hidden="1" thickBot="1">
      <c r="A2" s="38"/>
      <c r="B2" s="42"/>
      <c r="C2" s="42"/>
      <c r="D2" s="42"/>
      <c r="E2" s="42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2.75" customHeight="1" hidden="1">
      <c r="A3" s="38"/>
      <c r="B3" s="42"/>
      <c r="C3" s="128" t="s">
        <v>140</v>
      </c>
      <c r="D3" s="129"/>
      <c r="E3" s="130"/>
      <c r="F3" s="39"/>
      <c r="G3" s="131" t="s">
        <v>141</v>
      </c>
      <c r="H3" s="132"/>
      <c r="I3" s="39"/>
      <c r="J3" s="131" t="s">
        <v>142</v>
      </c>
      <c r="K3" s="132"/>
      <c r="L3" s="39"/>
      <c r="M3" s="131" t="s">
        <v>143</v>
      </c>
      <c r="N3" s="132"/>
      <c r="O3" s="39"/>
      <c r="P3" s="131" t="s">
        <v>144</v>
      </c>
      <c r="Q3" s="133"/>
      <c r="R3" s="132"/>
      <c r="S3" s="39"/>
      <c r="T3" s="39"/>
      <c r="U3" s="39"/>
      <c r="V3" s="39"/>
    </row>
    <row r="4" spans="1:40" ht="15.75">
      <c r="A4" s="81" t="s">
        <v>182</v>
      </c>
      <c r="B4" s="82"/>
      <c r="C4" s="83"/>
      <c r="D4" s="83"/>
      <c r="E4" s="84"/>
      <c r="F4" s="85"/>
      <c r="G4" s="86"/>
      <c r="H4" s="86"/>
      <c r="I4" s="85"/>
      <c r="J4" s="86"/>
      <c r="K4" s="86"/>
      <c r="L4" s="85"/>
      <c r="M4" s="123"/>
      <c r="N4" s="123"/>
      <c r="O4" s="85"/>
      <c r="P4" s="87"/>
      <c r="Q4" s="87"/>
      <c r="R4" s="87"/>
      <c r="S4" s="87"/>
      <c r="T4" s="87"/>
      <c r="U4" s="88"/>
      <c r="V4" s="88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9"/>
      <c r="AN4" s="89"/>
    </row>
    <row r="5" spans="1:40" ht="15">
      <c r="A5" s="90" t="s">
        <v>183</v>
      </c>
      <c r="B5" s="49"/>
      <c r="C5" s="50"/>
      <c r="D5" s="50"/>
      <c r="E5" s="51"/>
      <c r="F5" s="52"/>
      <c r="G5" s="53"/>
      <c r="H5" s="53"/>
      <c r="I5" s="50"/>
      <c r="J5" s="124" t="s">
        <v>145</v>
      </c>
      <c r="K5" s="124"/>
      <c r="L5" s="52"/>
      <c r="M5" s="124" t="s">
        <v>146</v>
      </c>
      <c r="N5" s="124"/>
      <c r="O5" s="52"/>
      <c r="P5" s="124" t="s">
        <v>146</v>
      </c>
      <c r="Q5" s="124"/>
      <c r="R5" s="124"/>
      <c r="S5" s="124"/>
      <c r="T5" s="124"/>
      <c r="U5" s="52"/>
      <c r="V5" s="52"/>
      <c r="W5" s="117" t="s">
        <v>146</v>
      </c>
      <c r="X5" s="117"/>
      <c r="Y5" s="117"/>
      <c r="Z5" s="117"/>
      <c r="AA5" s="55"/>
      <c r="AB5" s="55"/>
      <c r="AC5" s="117" t="s">
        <v>146</v>
      </c>
      <c r="AD5" s="117"/>
      <c r="AE5" s="117"/>
      <c r="AF5" s="117"/>
      <c r="AG5" s="50"/>
      <c r="AH5" s="50"/>
      <c r="AI5" s="117" t="s">
        <v>146</v>
      </c>
      <c r="AJ5" s="117"/>
      <c r="AK5" s="117"/>
      <c r="AL5" s="117"/>
      <c r="AM5" s="50"/>
      <c r="AN5" s="50"/>
    </row>
    <row r="6" spans="1:40" s="45" customFormat="1" ht="15" customHeight="1">
      <c r="A6" s="91"/>
      <c r="B6" s="56"/>
      <c r="C6" s="121" t="s">
        <v>140</v>
      </c>
      <c r="D6" s="121"/>
      <c r="E6" s="122" t="s">
        <v>147</v>
      </c>
      <c r="F6" s="118" t="s">
        <v>148</v>
      </c>
      <c r="G6" s="119" t="s">
        <v>141</v>
      </c>
      <c r="H6" s="119"/>
      <c r="I6" s="118" t="s">
        <v>149</v>
      </c>
      <c r="J6" s="119" t="s">
        <v>142</v>
      </c>
      <c r="K6" s="119"/>
      <c r="L6" s="118" t="s">
        <v>150</v>
      </c>
      <c r="M6" s="119" t="s">
        <v>143</v>
      </c>
      <c r="N6" s="119"/>
      <c r="O6" s="118" t="s">
        <v>177</v>
      </c>
      <c r="P6" s="119" t="s">
        <v>152</v>
      </c>
      <c r="Q6" s="119"/>
      <c r="R6" s="119"/>
      <c r="S6" s="119"/>
      <c r="T6" s="119"/>
      <c r="U6" s="120" t="s">
        <v>151</v>
      </c>
      <c r="V6" s="118" t="s">
        <v>154</v>
      </c>
      <c r="W6" s="119" t="s">
        <v>155</v>
      </c>
      <c r="X6" s="119"/>
      <c r="Y6" s="119"/>
      <c r="Z6" s="119"/>
      <c r="AA6" s="120" t="s">
        <v>153</v>
      </c>
      <c r="AB6" s="118" t="s">
        <v>157</v>
      </c>
      <c r="AC6" s="119" t="s">
        <v>158</v>
      </c>
      <c r="AD6" s="119"/>
      <c r="AE6" s="119"/>
      <c r="AF6" s="119"/>
      <c r="AG6" s="120" t="s">
        <v>156</v>
      </c>
      <c r="AH6" s="118" t="s">
        <v>160</v>
      </c>
      <c r="AI6" s="119" t="s">
        <v>161</v>
      </c>
      <c r="AJ6" s="119"/>
      <c r="AK6" s="119"/>
      <c r="AL6" s="119"/>
      <c r="AM6" s="120" t="s">
        <v>159</v>
      </c>
      <c r="AN6" s="118" t="s">
        <v>162</v>
      </c>
    </row>
    <row r="7" spans="1:40" s="46" customFormat="1" ht="52.5" customHeight="1">
      <c r="A7" s="92"/>
      <c r="B7" s="57" t="s">
        <v>163</v>
      </c>
      <c r="C7" s="58" t="s">
        <v>164</v>
      </c>
      <c r="D7" s="58" t="s">
        <v>165</v>
      </c>
      <c r="E7" s="122"/>
      <c r="F7" s="118"/>
      <c r="G7" s="59" t="s">
        <v>164</v>
      </c>
      <c r="H7" s="59" t="s">
        <v>165</v>
      </c>
      <c r="I7" s="118"/>
      <c r="J7" s="59" t="s">
        <v>164</v>
      </c>
      <c r="K7" s="59" t="s">
        <v>165</v>
      </c>
      <c r="L7" s="118"/>
      <c r="M7" s="59" t="s">
        <v>164</v>
      </c>
      <c r="N7" s="59" t="s">
        <v>165</v>
      </c>
      <c r="O7" s="118"/>
      <c r="P7" s="60" t="s">
        <v>166</v>
      </c>
      <c r="Q7" s="59" t="s">
        <v>164</v>
      </c>
      <c r="R7" s="60" t="s">
        <v>167</v>
      </c>
      <c r="S7" s="59" t="s">
        <v>168</v>
      </c>
      <c r="T7" s="59" t="s">
        <v>165</v>
      </c>
      <c r="U7" s="120"/>
      <c r="V7" s="118"/>
      <c r="W7" s="60" t="s">
        <v>169</v>
      </c>
      <c r="X7" s="59" t="s">
        <v>164</v>
      </c>
      <c r="Y7" s="60" t="s">
        <v>170</v>
      </c>
      <c r="Z7" s="59" t="s">
        <v>165</v>
      </c>
      <c r="AA7" s="120"/>
      <c r="AB7" s="118"/>
      <c r="AC7" s="60" t="s">
        <v>171</v>
      </c>
      <c r="AD7" s="59" t="s">
        <v>164</v>
      </c>
      <c r="AE7" s="60" t="s">
        <v>172</v>
      </c>
      <c r="AF7" s="59" t="s">
        <v>165</v>
      </c>
      <c r="AG7" s="120"/>
      <c r="AH7" s="118"/>
      <c r="AI7" s="60" t="s">
        <v>173</v>
      </c>
      <c r="AJ7" s="59" t="s">
        <v>164</v>
      </c>
      <c r="AK7" s="60" t="s">
        <v>174</v>
      </c>
      <c r="AL7" s="59" t="s">
        <v>165</v>
      </c>
      <c r="AM7" s="120"/>
      <c r="AN7" s="118"/>
    </row>
    <row r="8" spans="1:40" s="46" customFormat="1" ht="15" customHeight="1">
      <c r="A8" s="97"/>
      <c r="B8" s="57"/>
      <c r="C8" s="94"/>
      <c r="D8" s="94"/>
      <c r="E8" s="94"/>
      <c r="F8" s="61" t="s">
        <v>175</v>
      </c>
      <c r="G8" s="61" t="s">
        <v>175</v>
      </c>
      <c r="H8" s="61" t="s">
        <v>175</v>
      </c>
      <c r="I8" s="61" t="s">
        <v>175</v>
      </c>
      <c r="J8" s="61" t="s">
        <v>175</v>
      </c>
      <c r="K8" s="61" t="s">
        <v>175</v>
      </c>
      <c r="L8" s="61" t="s">
        <v>175</v>
      </c>
      <c r="M8" s="61" t="s">
        <v>175</v>
      </c>
      <c r="N8" s="61" t="s">
        <v>175</v>
      </c>
      <c r="O8" s="13" t="s">
        <v>5</v>
      </c>
      <c r="P8" s="62" t="s">
        <v>175</v>
      </c>
      <c r="Q8" s="13" t="s">
        <v>5</v>
      </c>
      <c r="R8" s="13" t="s">
        <v>5</v>
      </c>
      <c r="S8" s="13" t="s">
        <v>5</v>
      </c>
      <c r="T8" s="13" t="s">
        <v>5</v>
      </c>
      <c r="U8" s="13" t="s">
        <v>5</v>
      </c>
      <c r="V8" s="13" t="s">
        <v>5</v>
      </c>
      <c r="W8" s="13" t="s">
        <v>5</v>
      </c>
      <c r="X8" s="13" t="s">
        <v>5</v>
      </c>
      <c r="Y8" s="13" t="s">
        <v>5</v>
      </c>
      <c r="Z8" s="13" t="s">
        <v>5</v>
      </c>
      <c r="AA8" s="13" t="s">
        <v>5</v>
      </c>
      <c r="AB8" s="13" t="s">
        <v>5</v>
      </c>
      <c r="AC8" s="13" t="s">
        <v>5</v>
      </c>
      <c r="AD8" s="13" t="s">
        <v>5</v>
      </c>
      <c r="AE8" s="13" t="s">
        <v>5</v>
      </c>
      <c r="AF8" s="13" t="s">
        <v>5</v>
      </c>
      <c r="AG8" s="13" t="s">
        <v>5</v>
      </c>
      <c r="AH8" s="13" t="s">
        <v>5</v>
      </c>
      <c r="AI8" s="13" t="s">
        <v>5</v>
      </c>
      <c r="AJ8" s="13" t="s">
        <v>5</v>
      </c>
      <c r="AK8" s="13" t="s">
        <v>5</v>
      </c>
      <c r="AL8" s="13" t="s">
        <v>5</v>
      </c>
      <c r="AM8" s="13" t="s">
        <v>5</v>
      </c>
      <c r="AN8" s="13" t="s">
        <v>5</v>
      </c>
    </row>
    <row r="9" spans="1:40" ht="15">
      <c r="A9" s="98" t="s">
        <v>176</v>
      </c>
      <c r="B9" s="49"/>
      <c r="C9" s="70"/>
      <c r="D9" s="70"/>
      <c r="E9" s="71"/>
      <c r="F9" s="52"/>
      <c r="G9" s="53"/>
      <c r="H9" s="53"/>
      <c r="I9" s="72"/>
      <c r="J9" s="73"/>
      <c r="K9" s="73"/>
      <c r="L9" s="72"/>
      <c r="M9" s="73"/>
      <c r="N9" s="73"/>
      <c r="O9" s="72"/>
      <c r="P9" s="74"/>
      <c r="Q9" s="73"/>
      <c r="R9" s="74"/>
      <c r="S9" s="73"/>
      <c r="T9" s="73"/>
      <c r="U9" s="74"/>
      <c r="V9" s="72"/>
      <c r="W9" s="74"/>
      <c r="X9" s="73"/>
      <c r="Y9" s="74"/>
      <c r="Z9" s="73"/>
      <c r="AA9" s="74"/>
      <c r="AB9" s="72"/>
      <c r="AC9" s="74"/>
      <c r="AD9" s="73"/>
      <c r="AE9" s="74"/>
      <c r="AF9" s="73"/>
      <c r="AG9" s="74"/>
      <c r="AH9" s="72"/>
      <c r="AI9" s="74"/>
      <c r="AJ9" s="73"/>
      <c r="AK9" s="74"/>
      <c r="AL9" s="73"/>
      <c r="AM9" s="74"/>
      <c r="AN9" s="72"/>
    </row>
    <row r="10" spans="1:40" ht="15">
      <c r="A10" s="98"/>
      <c r="B10" s="49"/>
      <c r="C10" s="70"/>
      <c r="D10" s="70"/>
      <c r="E10" s="71"/>
      <c r="F10" s="52"/>
      <c r="G10" s="53"/>
      <c r="H10" s="53"/>
      <c r="I10" s="72"/>
      <c r="J10" s="73"/>
      <c r="K10" s="73"/>
      <c r="L10" s="72"/>
      <c r="M10" s="73"/>
      <c r="N10" s="73"/>
      <c r="O10" s="72"/>
      <c r="P10" s="74"/>
      <c r="Q10" s="73"/>
      <c r="R10" s="74"/>
      <c r="S10" s="73"/>
      <c r="T10" s="73"/>
      <c r="U10" s="74"/>
      <c r="V10" s="72"/>
      <c r="W10" s="74"/>
      <c r="X10" s="73"/>
      <c r="Y10" s="74"/>
      <c r="Z10" s="73"/>
      <c r="AA10" s="74"/>
      <c r="AB10" s="72"/>
      <c r="AC10" s="74"/>
      <c r="AD10" s="73"/>
      <c r="AE10" s="74"/>
      <c r="AF10" s="73"/>
      <c r="AG10" s="74"/>
      <c r="AH10" s="72"/>
      <c r="AI10" s="74"/>
      <c r="AJ10" s="73"/>
      <c r="AK10" s="74"/>
      <c r="AL10" s="73"/>
      <c r="AM10" s="74"/>
      <c r="AN10" s="72"/>
    </row>
    <row r="11" spans="1:40" ht="15">
      <c r="A11" s="98" t="s">
        <v>197</v>
      </c>
      <c r="B11" s="49"/>
      <c r="C11" s="70"/>
      <c r="D11" s="70"/>
      <c r="E11" s="71"/>
      <c r="F11" s="52"/>
      <c r="G11" s="53"/>
      <c r="H11" s="53"/>
      <c r="I11" s="72"/>
      <c r="J11" s="73"/>
      <c r="K11" s="73"/>
      <c r="L11" s="72"/>
      <c r="M11" s="73"/>
      <c r="N11" s="73"/>
      <c r="O11" s="72">
        <v>-9480</v>
      </c>
      <c r="P11" s="74"/>
      <c r="Q11" s="73"/>
      <c r="R11" s="74"/>
      <c r="S11" s="73"/>
      <c r="T11" s="73"/>
      <c r="U11" s="74"/>
      <c r="V11" s="67">
        <f aca="true" t="shared" si="0" ref="V11:V21">O11+Q11+S11+T11</f>
        <v>-9480</v>
      </c>
      <c r="W11" s="74"/>
      <c r="X11" s="73"/>
      <c r="Y11" s="74"/>
      <c r="Z11" s="73">
        <v>9480</v>
      </c>
      <c r="AA11" s="74"/>
      <c r="AB11" s="67">
        <f aca="true" t="shared" si="1" ref="AB11:AB21">V11+X11+Z11</f>
        <v>0</v>
      </c>
      <c r="AC11" s="74"/>
      <c r="AD11" s="73"/>
      <c r="AE11" s="74"/>
      <c r="AF11" s="73"/>
      <c r="AG11" s="74"/>
      <c r="AH11" s="67">
        <f>AB11+AD11+AF11</f>
        <v>0</v>
      </c>
      <c r="AI11" s="74"/>
      <c r="AJ11" s="73"/>
      <c r="AK11" s="74"/>
      <c r="AL11" s="73"/>
      <c r="AM11" s="74"/>
      <c r="AN11" s="67">
        <f aca="true" t="shared" si="2" ref="AN11:AN21">AH11+AJ11+AL11</f>
        <v>0</v>
      </c>
    </row>
    <row r="12" spans="1:40" ht="15">
      <c r="A12" s="98"/>
      <c r="B12" s="49"/>
      <c r="C12" s="70"/>
      <c r="D12" s="70"/>
      <c r="E12" s="71"/>
      <c r="F12" s="52"/>
      <c r="G12" s="53"/>
      <c r="H12" s="53"/>
      <c r="I12" s="72"/>
      <c r="J12" s="73"/>
      <c r="K12" s="73"/>
      <c r="L12" s="72"/>
      <c r="M12" s="73"/>
      <c r="N12" s="73"/>
      <c r="O12" s="72"/>
      <c r="P12" s="74"/>
      <c r="Q12" s="73"/>
      <c r="R12" s="74"/>
      <c r="S12" s="73"/>
      <c r="T12" s="73"/>
      <c r="U12" s="74"/>
      <c r="V12" s="72"/>
      <c r="W12" s="74"/>
      <c r="X12" s="73"/>
      <c r="Y12" s="74"/>
      <c r="Z12" s="73"/>
      <c r="AA12" s="74"/>
      <c r="AB12" s="72"/>
      <c r="AC12" s="74"/>
      <c r="AD12" s="73"/>
      <c r="AE12" s="74"/>
      <c r="AF12" s="73"/>
      <c r="AG12" s="74"/>
      <c r="AH12" s="72"/>
      <c r="AI12" s="74"/>
      <c r="AJ12" s="73"/>
      <c r="AK12" s="74"/>
      <c r="AL12" s="73"/>
      <c r="AM12" s="74"/>
      <c r="AN12" s="72"/>
    </row>
    <row r="13" spans="1:40" ht="15">
      <c r="A13" s="98" t="s">
        <v>198</v>
      </c>
      <c r="B13" s="49"/>
      <c r="C13" s="70"/>
      <c r="D13" s="70"/>
      <c r="E13" s="71"/>
      <c r="F13" s="52"/>
      <c r="G13" s="53"/>
      <c r="H13" s="53"/>
      <c r="I13" s="72"/>
      <c r="J13" s="73"/>
      <c r="K13" s="73"/>
      <c r="L13" s="72"/>
      <c r="M13" s="73"/>
      <c r="N13" s="73"/>
      <c r="O13" s="72">
        <v>0</v>
      </c>
      <c r="P13" s="74"/>
      <c r="Q13" s="73">
        <f>-Administration!J33</f>
        <v>-50000</v>
      </c>
      <c r="R13" s="74"/>
      <c r="S13" s="73"/>
      <c r="T13" s="73"/>
      <c r="U13" s="74"/>
      <c r="V13" s="67">
        <f t="shared" si="0"/>
        <v>-50000</v>
      </c>
      <c r="W13" s="74"/>
      <c r="X13" s="73"/>
      <c r="Y13" s="74"/>
      <c r="Z13" s="73">
        <v>50000</v>
      </c>
      <c r="AA13" s="74"/>
      <c r="AB13" s="67">
        <f t="shared" si="1"/>
        <v>0</v>
      </c>
      <c r="AC13" s="74"/>
      <c r="AD13" s="73"/>
      <c r="AE13" s="74"/>
      <c r="AF13" s="73"/>
      <c r="AG13" s="74"/>
      <c r="AH13" s="67">
        <f>AB13+AD13+AF13</f>
        <v>0</v>
      </c>
      <c r="AI13" s="74"/>
      <c r="AJ13" s="73"/>
      <c r="AK13" s="74"/>
      <c r="AL13" s="73"/>
      <c r="AM13" s="74"/>
      <c r="AN13" s="67">
        <f t="shared" si="2"/>
        <v>0</v>
      </c>
    </row>
    <row r="14" spans="1:40" ht="15">
      <c r="A14" s="98"/>
      <c r="B14" s="49"/>
      <c r="C14" s="70"/>
      <c r="D14" s="70"/>
      <c r="E14" s="71"/>
      <c r="F14" s="52"/>
      <c r="G14" s="53"/>
      <c r="H14" s="53"/>
      <c r="I14" s="72"/>
      <c r="J14" s="73"/>
      <c r="K14" s="73"/>
      <c r="L14" s="72"/>
      <c r="M14" s="73"/>
      <c r="N14" s="73"/>
      <c r="O14" s="72"/>
      <c r="P14" s="74"/>
      <c r="Q14" s="73"/>
      <c r="R14" s="74"/>
      <c r="S14" s="73"/>
      <c r="T14" s="73"/>
      <c r="U14" s="74"/>
      <c r="V14" s="72"/>
      <c r="W14" s="74"/>
      <c r="X14" s="73"/>
      <c r="Y14" s="74"/>
      <c r="Z14" s="73"/>
      <c r="AA14" s="74"/>
      <c r="AB14" s="72"/>
      <c r="AC14" s="74"/>
      <c r="AD14" s="73"/>
      <c r="AE14" s="74"/>
      <c r="AF14" s="73"/>
      <c r="AG14" s="74"/>
      <c r="AH14" s="72"/>
      <c r="AI14" s="74"/>
      <c r="AJ14" s="73"/>
      <c r="AK14" s="74"/>
      <c r="AL14" s="73"/>
      <c r="AM14" s="74"/>
      <c r="AN14" s="72"/>
    </row>
    <row r="15" spans="1:40" ht="15">
      <c r="A15" s="98" t="s">
        <v>13</v>
      </c>
      <c r="B15" s="49"/>
      <c r="C15" s="70"/>
      <c r="D15" s="70"/>
      <c r="E15" s="71"/>
      <c r="F15" s="52"/>
      <c r="G15" s="53"/>
      <c r="H15" s="53"/>
      <c r="I15" s="72"/>
      <c r="J15" s="73"/>
      <c r="K15" s="73"/>
      <c r="L15" s="72"/>
      <c r="M15" s="73"/>
      <c r="N15" s="73"/>
      <c r="O15" s="72">
        <v>0</v>
      </c>
      <c r="P15" s="74"/>
      <c r="Q15" s="73">
        <v>-4500</v>
      </c>
      <c r="R15" s="74"/>
      <c r="S15" s="73"/>
      <c r="T15" s="73"/>
      <c r="U15" s="74"/>
      <c r="V15" s="67">
        <f t="shared" si="0"/>
        <v>-4500</v>
      </c>
      <c r="W15" s="74"/>
      <c r="X15" s="73">
        <f>-Administration!K12</f>
        <v>-8500</v>
      </c>
      <c r="Y15" s="74"/>
      <c r="Z15" s="73">
        <v>6000</v>
      </c>
      <c r="AA15" s="74"/>
      <c r="AB15" s="67">
        <f t="shared" si="1"/>
        <v>-7000</v>
      </c>
      <c r="AC15" s="74"/>
      <c r="AD15" s="73">
        <f>-Administration!L12</f>
        <v>-8500</v>
      </c>
      <c r="AE15" s="74"/>
      <c r="AF15" s="73">
        <v>6000</v>
      </c>
      <c r="AG15" s="74"/>
      <c r="AH15" s="67">
        <f>AB15+AD15+AF15</f>
        <v>-9500</v>
      </c>
      <c r="AI15" s="74"/>
      <c r="AJ15" s="73">
        <f>-Administration!M12</f>
        <v>-8500</v>
      </c>
      <c r="AK15" s="74"/>
      <c r="AL15" s="73">
        <v>6000</v>
      </c>
      <c r="AM15" s="74"/>
      <c r="AN15" s="67">
        <f t="shared" si="2"/>
        <v>-12000</v>
      </c>
    </row>
    <row r="16" spans="1:40" ht="15">
      <c r="A16" s="98"/>
      <c r="B16" s="49"/>
      <c r="C16" s="70"/>
      <c r="D16" s="70"/>
      <c r="E16" s="71"/>
      <c r="F16" s="52"/>
      <c r="G16" s="53"/>
      <c r="H16" s="53"/>
      <c r="I16" s="72"/>
      <c r="J16" s="73"/>
      <c r="K16" s="73"/>
      <c r="L16" s="72"/>
      <c r="M16" s="73"/>
      <c r="N16" s="73"/>
      <c r="O16" s="72"/>
      <c r="P16" s="74"/>
      <c r="Q16" s="73"/>
      <c r="R16" s="74"/>
      <c r="S16" s="73"/>
      <c r="T16" s="73"/>
      <c r="U16" s="74"/>
      <c r="V16" s="67"/>
      <c r="W16" s="74"/>
      <c r="X16" s="73"/>
      <c r="Y16" s="74"/>
      <c r="Z16" s="73"/>
      <c r="AA16" s="74"/>
      <c r="AB16" s="67"/>
      <c r="AC16" s="74"/>
      <c r="AD16" s="73"/>
      <c r="AE16" s="74"/>
      <c r="AF16" s="73"/>
      <c r="AG16" s="74"/>
      <c r="AH16" s="67"/>
      <c r="AI16" s="74"/>
      <c r="AJ16" s="73"/>
      <c r="AK16" s="74"/>
      <c r="AL16" s="73"/>
      <c r="AM16" s="74"/>
      <c r="AN16" s="67"/>
    </row>
    <row r="17" spans="1:40" ht="15">
      <c r="A17" s="55" t="s">
        <v>7</v>
      </c>
      <c r="B17" s="49"/>
      <c r="C17" s="70"/>
      <c r="D17" s="70"/>
      <c r="E17" s="71"/>
      <c r="F17" s="52"/>
      <c r="G17" s="53"/>
      <c r="H17" s="53"/>
      <c r="I17" s="72"/>
      <c r="J17" s="73"/>
      <c r="K17" s="73"/>
      <c r="L17" s="72"/>
      <c r="M17" s="73"/>
      <c r="N17" s="73"/>
      <c r="O17" s="72">
        <v>0</v>
      </c>
      <c r="P17" s="74"/>
      <c r="Q17" s="73">
        <f>-'Marina Theatre'!J6+500</f>
        <v>-4600</v>
      </c>
      <c r="R17" s="74"/>
      <c r="S17" s="73"/>
      <c r="T17" s="73"/>
      <c r="U17" s="74"/>
      <c r="V17" s="67">
        <f>O17+Q17+S17+T17</f>
        <v>-4600</v>
      </c>
      <c r="W17" s="74"/>
      <c r="X17" s="73">
        <f>-'Marina Theatre'!K6</f>
        <v>-10000</v>
      </c>
      <c r="Y17" s="74"/>
      <c r="Z17" s="73">
        <v>5000</v>
      </c>
      <c r="AA17" s="74"/>
      <c r="AB17" s="67">
        <f>V17+X17+Z17</f>
        <v>-9600</v>
      </c>
      <c r="AC17" s="74"/>
      <c r="AD17" s="73">
        <f>-'Marina Theatre'!L6</f>
        <v>-10000</v>
      </c>
      <c r="AE17" s="74"/>
      <c r="AF17" s="73">
        <v>5000</v>
      </c>
      <c r="AG17" s="74"/>
      <c r="AH17" s="67">
        <f>AB17+AD17+AF17</f>
        <v>-14600</v>
      </c>
      <c r="AI17" s="74"/>
      <c r="AJ17" s="73">
        <f>-'Marina Theatre'!M6</f>
        <v>-10000</v>
      </c>
      <c r="AK17" s="74"/>
      <c r="AL17" s="73">
        <v>5000</v>
      </c>
      <c r="AM17" s="74"/>
      <c r="AN17" s="67">
        <f>AH17+AJ17+AL17</f>
        <v>-19600</v>
      </c>
    </row>
    <row r="18" spans="1:40" ht="15">
      <c r="A18" s="98"/>
      <c r="B18" s="49"/>
      <c r="C18" s="70"/>
      <c r="D18" s="70"/>
      <c r="E18" s="71"/>
      <c r="F18" s="52"/>
      <c r="G18" s="53"/>
      <c r="H18" s="53"/>
      <c r="I18" s="72"/>
      <c r="J18" s="73"/>
      <c r="K18" s="73"/>
      <c r="L18" s="72"/>
      <c r="M18" s="73"/>
      <c r="N18" s="73"/>
      <c r="O18" s="72"/>
      <c r="P18" s="74"/>
      <c r="Q18" s="73"/>
      <c r="R18" s="74"/>
      <c r="S18" s="73"/>
      <c r="T18" s="73"/>
      <c r="U18" s="74"/>
      <c r="V18" s="72"/>
      <c r="W18" s="74"/>
      <c r="X18" s="73"/>
      <c r="Y18" s="74"/>
      <c r="Z18" s="73"/>
      <c r="AA18" s="74"/>
      <c r="AB18" s="72"/>
      <c r="AC18" s="74"/>
      <c r="AD18" s="73"/>
      <c r="AE18" s="74"/>
      <c r="AF18" s="73"/>
      <c r="AG18" s="74"/>
      <c r="AH18" s="72"/>
      <c r="AI18" s="74"/>
      <c r="AJ18" s="73"/>
      <c r="AK18" s="74"/>
      <c r="AL18" s="73"/>
      <c r="AM18" s="74"/>
      <c r="AN18" s="72"/>
    </row>
    <row r="19" spans="1:40" ht="15">
      <c r="A19" s="98" t="s">
        <v>199</v>
      </c>
      <c r="B19" s="49"/>
      <c r="C19" s="70"/>
      <c r="D19" s="70"/>
      <c r="E19" s="71"/>
      <c r="F19" s="52"/>
      <c r="G19" s="53"/>
      <c r="H19" s="53"/>
      <c r="I19" s="72"/>
      <c r="J19" s="73"/>
      <c r="K19" s="73"/>
      <c r="L19" s="72"/>
      <c r="M19" s="73"/>
      <c r="N19" s="73"/>
      <c r="O19" s="72">
        <v>0</v>
      </c>
      <c r="P19" s="74"/>
      <c r="Q19" s="73"/>
      <c r="R19" s="74"/>
      <c r="S19" s="73"/>
      <c r="T19" s="73"/>
      <c r="U19" s="74"/>
      <c r="V19" s="67">
        <f t="shared" si="0"/>
        <v>0</v>
      </c>
      <c r="W19" s="74"/>
      <c r="X19" s="73"/>
      <c r="Y19" s="74"/>
      <c r="Z19" s="73"/>
      <c r="AA19" s="74"/>
      <c r="AB19" s="67">
        <f t="shared" si="1"/>
        <v>0</v>
      </c>
      <c r="AC19" s="74"/>
      <c r="AD19" s="73"/>
      <c r="AE19" s="74"/>
      <c r="AF19" s="73"/>
      <c r="AG19" s="74"/>
      <c r="AH19" s="67">
        <f>AB19+AD19+AF19</f>
        <v>0</v>
      </c>
      <c r="AI19" s="74"/>
      <c r="AJ19" s="73"/>
      <c r="AK19" s="74"/>
      <c r="AL19" s="73"/>
      <c r="AM19" s="74"/>
      <c r="AN19" s="67">
        <f t="shared" si="2"/>
        <v>0</v>
      </c>
    </row>
    <row r="20" spans="1:40" ht="15">
      <c r="A20" s="98"/>
      <c r="B20" s="49"/>
      <c r="C20" s="70"/>
      <c r="D20" s="70"/>
      <c r="E20" s="71"/>
      <c r="F20" s="52"/>
      <c r="G20" s="53"/>
      <c r="H20" s="53"/>
      <c r="I20" s="72"/>
      <c r="J20" s="73"/>
      <c r="K20" s="73"/>
      <c r="L20" s="72"/>
      <c r="M20" s="73"/>
      <c r="N20" s="73"/>
      <c r="O20" s="72"/>
      <c r="P20" s="74"/>
      <c r="Q20" s="73"/>
      <c r="R20" s="74"/>
      <c r="S20" s="73"/>
      <c r="T20" s="73"/>
      <c r="U20" s="74"/>
      <c r="V20" s="72"/>
      <c r="W20" s="74"/>
      <c r="X20" s="73"/>
      <c r="Y20" s="74"/>
      <c r="Z20" s="73"/>
      <c r="AA20" s="74"/>
      <c r="AB20" s="72"/>
      <c r="AC20" s="74"/>
      <c r="AD20" s="73"/>
      <c r="AE20" s="74"/>
      <c r="AF20" s="73"/>
      <c r="AG20" s="74"/>
      <c r="AH20" s="72"/>
      <c r="AI20" s="74"/>
      <c r="AJ20" s="73"/>
      <c r="AK20" s="74"/>
      <c r="AL20" s="73"/>
      <c r="AM20" s="74"/>
      <c r="AN20" s="72"/>
    </row>
    <row r="21" spans="1:40" ht="15">
      <c r="A21" s="98" t="s">
        <v>200</v>
      </c>
      <c r="B21" s="49"/>
      <c r="C21" s="70"/>
      <c r="D21" s="70"/>
      <c r="E21" s="71"/>
      <c r="F21" s="52"/>
      <c r="G21" s="53"/>
      <c r="H21" s="53"/>
      <c r="I21" s="72"/>
      <c r="J21" s="73"/>
      <c r="K21" s="73"/>
      <c r="L21" s="72"/>
      <c r="M21" s="73"/>
      <c r="N21" s="73"/>
      <c r="O21" s="72">
        <v>0</v>
      </c>
      <c r="P21" s="74"/>
      <c r="Q21" s="73"/>
      <c r="R21" s="74"/>
      <c r="S21" s="73"/>
      <c r="T21" s="73"/>
      <c r="U21" s="74"/>
      <c r="V21" s="67">
        <f t="shared" si="0"/>
        <v>0</v>
      </c>
      <c r="W21" s="74"/>
      <c r="X21" s="73">
        <f>-'Fen Park PC'!K8</f>
        <v>-7500</v>
      </c>
      <c r="Y21" s="74"/>
      <c r="Z21" s="73"/>
      <c r="AA21" s="74"/>
      <c r="AB21" s="67">
        <f t="shared" si="1"/>
        <v>-7500</v>
      </c>
      <c r="AC21" s="74"/>
      <c r="AD21" s="73"/>
      <c r="AE21" s="74"/>
      <c r="AF21" s="73"/>
      <c r="AG21" s="74"/>
      <c r="AH21" s="67">
        <f>AB21+AD21+AF21</f>
        <v>-7500</v>
      </c>
      <c r="AI21" s="74"/>
      <c r="AJ21" s="73"/>
      <c r="AK21" s="74"/>
      <c r="AL21" s="73"/>
      <c r="AM21" s="74"/>
      <c r="AN21" s="67">
        <f t="shared" si="2"/>
        <v>-7500</v>
      </c>
    </row>
    <row r="22" spans="1:40" ht="15">
      <c r="A22" s="98"/>
      <c r="B22" s="49"/>
      <c r="C22" s="70"/>
      <c r="D22" s="70"/>
      <c r="E22" s="71"/>
      <c r="F22" s="52"/>
      <c r="G22" s="53"/>
      <c r="H22" s="53"/>
      <c r="I22" s="72"/>
      <c r="J22" s="73"/>
      <c r="K22" s="73"/>
      <c r="L22" s="72"/>
      <c r="M22" s="73"/>
      <c r="N22" s="73"/>
      <c r="O22" s="72"/>
      <c r="P22" s="74"/>
      <c r="Q22" s="73"/>
      <c r="R22" s="74"/>
      <c r="S22" s="73"/>
      <c r="T22" s="73"/>
      <c r="U22" s="74"/>
      <c r="V22" s="72"/>
      <c r="W22" s="74"/>
      <c r="X22" s="73"/>
      <c r="Y22" s="74"/>
      <c r="Z22" s="73"/>
      <c r="AA22" s="74"/>
      <c r="AB22" s="72"/>
      <c r="AC22" s="74"/>
      <c r="AD22" s="73"/>
      <c r="AE22" s="74"/>
      <c r="AF22" s="73"/>
      <c r="AG22" s="74"/>
      <c r="AH22" s="72"/>
      <c r="AI22" s="74"/>
      <c r="AJ22" s="73"/>
      <c r="AK22" s="74"/>
      <c r="AL22" s="73"/>
      <c r="AM22" s="74"/>
      <c r="AN22" s="72"/>
    </row>
    <row r="23" spans="1:40" ht="15.75" customHeight="1">
      <c r="A23" s="55" t="s">
        <v>178</v>
      </c>
      <c r="B23" s="63">
        <v>-500000</v>
      </c>
      <c r="C23" s="64">
        <v>-62900</v>
      </c>
      <c r="D23" s="64">
        <v>73506.87</v>
      </c>
      <c r="E23" s="65"/>
      <c r="F23" s="54">
        <v>417</v>
      </c>
      <c r="G23" s="66"/>
      <c r="H23" s="66">
        <v>-60</v>
      </c>
      <c r="I23" s="67">
        <f>SUM(F23:H23)</f>
        <v>357</v>
      </c>
      <c r="J23" s="68">
        <v>150</v>
      </c>
      <c r="K23" s="68">
        <v>-334</v>
      </c>
      <c r="L23" s="67">
        <f>SUM(I23:K23)</f>
        <v>173</v>
      </c>
      <c r="M23" s="68"/>
      <c r="N23" s="68"/>
      <c r="O23" s="67">
        <v>0</v>
      </c>
      <c r="P23" s="69"/>
      <c r="Q23" s="68">
        <f>-Miscellaneous!J16+-'Sparrows Nest'!J8</f>
        <v>-60700</v>
      </c>
      <c r="R23" s="69"/>
      <c r="S23" s="68"/>
      <c r="T23" s="68"/>
      <c r="U23" s="69">
        <f>SUM(O23+P23+R23)</f>
        <v>0</v>
      </c>
      <c r="V23" s="67">
        <f>O23+Q23+S23+T23</f>
        <v>-60700</v>
      </c>
      <c r="W23" s="69"/>
      <c r="X23" s="68">
        <f>-Miscellaneous!K16+-'Sparrows Nest'!K8-50000</f>
        <v>-110700</v>
      </c>
      <c r="Y23" s="69"/>
      <c r="Z23" s="68"/>
      <c r="AA23" s="69">
        <f>SUM(U23+W23+Y23:Y23)</f>
        <v>0</v>
      </c>
      <c r="AB23" s="67">
        <f>V23+X23+Z23</f>
        <v>-171400</v>
      </c>
      <c r="AC23" s="69"/>
      <c r="AD23" s="68">
        <f>-Miscellaneous!L16+-'Sparrows Nest'!L8</f>
        <v>-60700</v>
      </c>
      <c r="AE23" s="69"/>
      <c r="AF23" s="68"/>
      <c r="AG23" s="69">
        <f>SUM(AA23+AC23+AE23:AE23)</f>
        <v>0</v>
      </c>
      <c r="AH23" s="67">
        <f>AB23+AD23+AF23</f>
        <v>-232100</v>
      </c>
      <c r="AI23" s="69"/>
      <c r="AJ23" s="68">
        <f>-Miscellaneous!M16+-'Sparrows Nest'!L8</f>
        <v>-60700</v>
      </c>
      <c r="AK23" s="69"/>
      <c r="AL23" s="68"/>
      <c r="AM23" s="69">
        <f>SUM(AG23+AI23+AK23:AK23)</f>
        <v>0</v>
      </c>
      <c r="AN23" s="67">
        <f>AH23+AJ23+AL23</f>
        <v>-292800</v>
      </c>
    </row>
    <row r="24" spans="1:40" ht="15.75" customHeight="1">
      <c r="A24" s="50"/>
      <c r="B24" s="63"/>
      <c r="C24" s="64"/>
      <c r="D24" s="64"/>
      <c r="E24" s="65"/>
      <c r="F24" s="54"/>
      <c r="G24" s="66"/>
      <c r="H24" s="66"/>
      <c r="I24" s="67"/>
      <c r="J24" s="68"/>
      <c r="K24" s="68"/>
      <c r="L24" s="67"/>
      <c r="M24" s="68"/>
      <c r="N24" s="68"/>
      <c r="O24" s="67"/>
      <c r="P24" s="69"/>
      <c r="Q24" s="68"/>
      <c r="R24" s="69"/>
      <c r="S24" s="68"/>
      <c r="T24" s="68"/>
      <c r="U24" s="69"/>
      <c r="V24" s="67"/>
      <c r="W24" s="69"/>
      <c r="X24" s="68"/>
      <c r="Y24" s="69"/>
      <c r="Z24" s="68"/>
      <c r="AA24" s="69"/>
      <c r="AB24" s="67"/>
      <c r="AC24" s="69"/>
      <c r="AD24" s="68"/>
      <c r="AE24" s="69"/>
      <c r="AF24" s="68"/>
      <c r="AG24" s="69"/>
      <c r="AH24" s="67"/>
      <c r="AI24" s="69"/>
      <c r="AJ24" s="68"/>
      <c r="AK24" s="69"/>
      <c r="AL24" s="68"/>
      <c r="AM24" s="69"/>
      <c r="AN24" s="67"/>
    </row>
    <row r="25" spans="1:40" ht="15.75" customHeight="1">
      <c r="A25" s="5" t="s">
        <v>179</v>
      </c>
      <c r="B25" s="63">
        <v>-216600</v>
      </c>
      <c r="C25" s="64">
        <v>-283400</v>
      </c>
      <c r="D25" s="64"/>
      <c r="E25" s="65"/>
      <c r="F25" s="54">
        <v>100</v>
      </c>
      <c r="G25" s="66">
        <v>100</v>
      </c>
      <c r="H25" s="66"/>
      <c r="I25" s="67">
        <f>SUM(F25:H25)</f>
        <v>200</v>
      </c>
      <c r="J25" s="68"/>
      <c r="K25" s="68"/>
      <c r="L25" s="67">
        <f>SUM(I25:K25)</f>
        <v>200</v>
      </c>
      <c r="M25" s="68">
        <v>53</v>
      </c>
      <c r="N25" s="68"/>
      <c r="O25" s="67">
        <v>0</v>
      </c>
      <c r="P25" s="68"/>
      <c r="Q25" s="68"/>
      <c r="R25" s="68"/>
      <c r="S25" s="68"/>
      <c r="T25" s="68"/>
      <c r="U25" s="68">
        <f>SUM(O25+P25+R25)</f>
        <v>0</v>
      </c>
      <c r="V25" s="67">
        <f>O25+Q25+S25+T25</f>
        <v>0</v>
      </c>
      <c r="W25" s="68"/>
      <c r="X25" s="68">
        <f>-'Play Areas'!K7</f>
        <v>-50000</v>
      </c>
      <c r="Y25" s="68"/>
      <c r="Z25" s="68"/>
      <c r="AA25" s="68">
        <f>SUM(U25+W25+Y25:Y25)</f>
        <v>0</v>
      </c>
      <c r="AB25" s="67">
        <f>V25+X25+Z25</f>
        <v>-50000</v>
      </c>
      <c r="AC25" s="68"/>
      <c r="AD25" s="68">
        <f>-'Play Areas'!L7</f>
        <v>-50000</v>
      </c>
      <c r="AE25" s="68"/>
      <c r="AF25" s="68"/>
      <c r="AG25" s="68">
        <f>SUM(AA25+AC25+AE25:AE25)</f>
        <v>0</v>
      </c>
      <c r="AH25" s="67">
        <f>AB25+AD25+AF25</f>
        <v>-100000</v>
      </c>
      <c r="AI25" s="68"/>
      <c r="AJ25" s="68">
        <f>-'Play Areas'!M7</f>
        <v>-50000</v>
      </c>
      <c r="AK25" s="68"/>
      <c r="AL25" s="68"/>
      <c r="AM25" s="68">
        <f>SUM(AG25+AI25+AK25:AK25)</f>
        <v>0</v>
      </c>
      <c r="AN25" s="67">
        <f>AH25+AJ25+AL25</f>
        <v>-150000</v>
      </c>
    </row>
    <row r="26" spans="1:40" ht="15.75" customHeight="1">
      <c r="A26" s="5"/>
      <c r="B26" s="63"/>
      <c r="C26" s="64"/>
      <c r="D26" s="64"/>
      <c r="E26" s="65"/>
      <c r="F26" s="54"/>
      <c r="G26" s="66"/>
      <c r="H26" s="66"/>
      <c r="I26" s="67"/>
      <c r="J26" s="68"/>
      <c r="K26" s="68"/>
      <c r="L26" s="67"/>
      <c r="M26" s="68"/>
      <c r="N26" s="68"/>
      <c r="O26" s="67"/>
      <c r="P26" s="68"/>
      <c r="Q26" s="68"/>
      <c r="R26" s="68"/>
      <c r="S26" s="68"/>
      <c r="T26" s="68"/>
      <c r="U26" s="68"/>
      <c r="V26" s="67"/>
      <c r="W26" s="68"/>
      <c r="X26" s="68"/>
      <c r="Y26" s="68"/>
      <c r="Z26" s="68"/>
      <c r="AA26" s="68"/>
      <c r="AB26" s="67"/>
      <c r="AC26" s="68"/>
      <c r="AD26" s="68"/>
      <c r="AE26" s="68"/>
      <c r="AF26" s="68"/>
      <c r="AG26" s="68"/>
      <c r="AH26" s="67"/>
      <c r="AI26" s="68"/>
      <c r="AJ26" s="68"/>
      <c r="AK26" s="68"/>
      <c r="AL26" s="68"/>
      <c r="AM26" s="68"/>
      <c r="AN26" s="67"/>
    </row>
    <row r="27" spans="1:40" ht="15.75" customHeight="1">
      <c r="A27" s="55" t="s">
        <v>180</v>
      </c>
      <c r="B27" s="63">
        <v>0</v>
      </c>
      <c r="C27" s="64"/>
      <c r="D27" s="64"/>
      <c r="E27" s="65"/>
      <c r="F27" s="54">
        <v>70</v>
      </c>
      <c r="G27" s="66">
        <v>60</v>
      </c>
      <c r="H27" s="66"/>
      <c r="I27" s="67">
        <f>SUM(F27:H27)</f>
        <v>130</v>
      </c>
      <c r="J27" s="68">
        <v>60</v>
      </c>
      <c r="K27" s="68"/>
      <c r="L27" s="67">
        <f>SUM(I27:K27)</f>
        <v>190</v>
      </c>
      <c r="M27" s="68"/>
      <c r="N27" s="68"/>
      <c r="O27" s="67">
        <v>0</v>
      </c>
      <c r="P27" s="68">
        <v>60</v>
      </c>
      <c r="Q27" s="68">
        <v>-18160</v>
      </c>
      <c r="R27" s="68">
        <v>-50</v>
      </c>
      <c r="S27" s="68"/>
      <c r="T27" s="68"/>
      <c r="U27" s="68">
        <f>SUM(O27+P27+R27)</f>
        <v>10</v>
      </c>
      <c r="V27" s="67">
        <f>O27+Q27+S27+T27</f>
        <v>-18160</v>
      </c>
      <c r="W27" s="68">
        <v>60</v>
      </c>
      <c r="X27" s="68">
        <f>-Administration!K34</f>
        <v>-20000</v>
      </c>
      <c r="Y27" s="68"/>
      <c r="Z27" s="68"/>
      <c r="AA27" s="68">
        <f>SUM(U27+W27+Y27:Y27)</f>
        <v>70</v>
      </c>
      <c r="AB27" s="67">
        <f>V27+X27+Z27</f>
        <v>-38160</v>
      </c>
      <c r="AC27" s="68">
        <v>60</v>
      </c>
      <c r="AD27" s="68">
        <f>-Administration!L34</f>
        <v>-20000</v>
      </c>
      <c r="AE27" s="68"/>
      <c r="AF27" s="68">
        <v>40000</v>
      </c>
      <c r="AG27" s="68">
        <f>SUM(AA27+AC27+AE27:AE27)</f>
        <v>130</v>
      </c>
      <c r="AH27" s="67">
        <f>AB27+AD27+AF27</f>
        <v>-18160</v>
      </c>
      <c r="AI27" s="68">
        <v>60</v>
      </c>
      <c r="AJ27" s="68">
        <f>-Administration!M34</f>
        <v>-20000</v>
      </c>
      <c r="AK27" s="68"/>
      <c r="AL27" s="68"/>
      <c r="AM27" s="68">
        <f>SUM(AG27+AI27+AK27:AK27)</f>
        <v>190</v>
      </c>
      <c r="AN27" s="67">
        <f>AH27+AJ27+AL27</f>
        <v>-38160</v>
      </c>
    </row>
    <row r="28" spans="1:40" ht="15.75" customHeight="1" thickBot="1">
      <c r="A28" s="50"/>
      <c r="B28" s="49"/>
      <c r="C28" s="70"/>
      <c r="D28" s="70"/>
      <c r="E28" s="71"/>
      <c r="F28" s="54"/>
      <c r="G28" s="66"/>
      <c r="H28" s="66"/>
      <c r="I28" s="67"/>
      <c r="J28" s="68"/>
      <c r="K28" s="68"/>
      <c r="L28" s="67"/>
      <c r="M28" s="68"/>
      <c r="N28" s="68"/>
      <c r="O28" s="75"/>
      <c r="P28" s="76"/>
      <c r="Q28" s="76"/>
      <c r="R28" s="76"/>
      <c r="S28" s="76"/>
      <c r="T28" s="76"/>
      <c r="U28" s="76"/>
      <c r="V28" s="75"/>
      <c r="W28" s="76"/>
      <c r="X28" s="76"/>
      <c r="Y28" s="76"/>
      <c r="Z28" s="76"/>
      <c r="AA28" s="76"/>
      <c r="AB28" s="75"/>
      <c r="AC28" s="76"/>
      <c r="AD28" s="76"/>
      <c r="AE28" s="76"/>
      <c r="AF28" s="76"/>
      <c r="AG28" s="76"/>
      <c r="AH28" s="75"/>
      <c r="AI28" s="76"/>
      <c r="AJ28" s="76"/>
      <c r="AK28" s="76"/>
      <c r="AL28" s="76"/>
      <c r="AM28" s="76"/>
      <c r="AN28" s="75"/>
    </row>
    <row r="29" spans="1:40" ht="15.75" thickBot="1">
      <c r="A29" s="55" t="s">
        <v>181</v>
      </c>
      <c r="B29" s="99">
        <f aca="true" t="shared" si="3" ref="B29:P29">SUM(B23:B28)</f>
        <v>-716600</v>
      </c>
      <c r="C29" s="99">
        <f t="shared" si="3"/>
        <v>-346300</v>
      </c>
      <c r="D29" s="99">
        <f t="shared" si="3"/>
        <v>73506.87</v>
      </c>
      <c r="E29" s="99">
        <f t="shared" si="3"/>
        <v>0</v>
      </c>
      <c r="F29" s="100">
        <f t="shared" si="3"/>
        <v>587</v>
      </c>
      <c r="G29" s="100">
        <f t="shared" si="3"/>
        <v>160</v>
      </c>
      <c r="H29" s="100">
        <f t="shared" si="3"/>
        <v>-60</v>
      </c>
      <c r="I29" s="101">
        <f t="shared" si="3"/>
        <v>687</v>
      </c>
      <c r="J29" s="101">
        <f t="shared" si="3"/>
        <v>210</v>
      </c>
      <c r="K29" s="101">
        <f t="shared" si="3"/>
        <v>-334</v>
      </c>
      <c r="L29" s="101">
        <f t="shared" si="3"/>
        <v>563</v>
      </c>
      <c r="M29" s="101">
        <f t="shared" si="3"/>
        <v>53</v>
      </c>
      <c r="N29" s="107">
        <f t="shared" si="3"/>
        <v>0</v>
      </c>
      <c r="O29" s="77">
        <f>SUM(O10:O28)</f>
        <v>-9480</v>
      </c>
      <c r="P29" s="78">
        <f t="shared" si="3"/>
        <v>60</v>
      </c>
      <c r="Q29" s="79">
        <f aca="true" t="shared" si="4" ref="Q29:AN29">SUM(Q10:Q28)</f>
        <v>-137960</v>
      </c>
      <c r="R29" s="79">
        <f t="shared" si="4"/>
        <v>-50</v>
      </c>
      <c r="S29" s="79">
        <f t="shared" si="4"/>
        <v>0</v>
      </c>
      <c r="T29" s="79">
        <f t="shared" si="4"/>
        <v>0</v>
      </c>
      <c r="U29" s="79">
        <f t="shared" si="4"/>
        <v>10</v>
      </c>
      <c r="V29" s="79">
        <f t="shared" si="4"/>
        <v>-147440</v>
      </c>
      <c r="W29" s="79">
        <f t="shared" si="4"/>
        <v>60</v>
      </c>
      <c r="X29" s="79">
        <f t="shared" si="4"/>
        <v>-206700</v>
      </c>
      <c r="Y29" s="79">
        <f t="shared" si="4"/>
        <v>0</v>
      </c>
      <c r="Z29" s="79">
        <f t="shared" si="4"/>
        <v>70480</v>
      </c>
      <c r="AA29" s="79">
        <f t="shared" si="4"/>
        <v>70</v>
      </c>
      <c r="AB29" s="79">
        <f t="shared" si="4"/>
        <v>-283660</v>
      </c>
      <c r="AC29" s="79">
        <f t="shared" si="4"/>
        <v>60</v>
      </c>
      <c r="AD29" s="79">
        <f t="shared" si="4"/>
        <v>-149200</v>
      </c>
      <c r="AE29" s="79">
        <f t="shared" si="4"/>
        <v>0</v>
      </c>
      <c r="AF29" s="79">
        <f t="shared" si="4"/>
        <v>51000</v>
      </c>
      <c r="AG29" s="79">
        <f t="shared" si="4"/>
        <v>130</v>
      </c>
      <c r="AH29" s="79">
        <f t="shared" si="4"/>
        <v>-381860</v>
      </c>
      <c r="AI29" s="79">
        <f t="shared" si="4"/>
        <v>60</v>
      </c>
      <c r="AJ29" s="79">
        <f t="shared" si="4"/>
        <v>-149200</v>
      </c>
      <c r="AK29" s="79">
        <f t="shared" si="4"/>
        <v>0</v>
      </c>
      <c r="AL29" s="79">
        <f t="shared" si="4"/>
        <v>11000</v>
      </c>
      <c r="AM29" s="79">
        <f t="shared" si="4"/>
        <v>190</v>
      </c>
      <c r="AN29" s="110">
        <f t="shared" si="4"/>
        <v>-520060</v>
      </c>
    </row>
    <row r="30" spans="1:40" ht="15">
      <c r="A30" s="51"/>
      <c r="B30" s="99"/>
      <c r="C30" s="99"/>
      <c r="D30" s="99"/>
      <c r="E30" s="99"/>
      <c r="F30" s="100"/>
      <c r="G30" s="100"/>
      <c r="H30" s="100"/>
      <c r="I30" s="101"/>
      <c r="J30" s="101"/>
      <c r="K30" s="101"/>
      <c r="L30" s="101"/>
      <c r="M30" s="101"/>
      <c r="N30" s="101"/>
      <c r="O30" s="108"/>
      <c r="P30" s="109"/>
      <c r="Q30" s="108"/>
      <c r="R30" s="109"/>
      <c r="S30" s="109"/>
      <c r="T30" s="108"/>
      <c r="U30" s="109"/>
      <c r="V30" s="108"/>
      <c r="W30" s="109"/>
      <c r="X30" s="108"/>
      <c r="Y30" s="109"/>
      <c r="Z30" s="108"/>
      <c r="AA30" s="109"/>
      <c r="AB30" s="108"/>
      <c r="AC30" s="109"/>
      <c r="AD30" s="108"/>
      <c r="AE30" s="109"/>
      <c r="AF30" s="108"/>
      <c r="AG30" s="109"/>
      <c r="AH30" s="108"/>
      <c r="AI30" s="109"/>
      <c r="AJ30" s="108"/>
      <c r="AK30" s="109"/>
      <c r="AL30" s="108"/>
      <c r="AM30" s="109"/>
      <c r="AN30" s="108"/>
    </row>
    <row r="31" spans="1:40" ht="15">
      <c r="A31" s="98" t="s">
        <v>201</v>
      </c>
      <c r="B31" s="63"/>
      <c r="C31" s="99"/>
      <c r="D31" s="99"/>
      <c r="E31" s="99"/>
      <c r="F31" s="100"/>
      <c r="G31" s="100"/>
      <c r="H31" s="100"/>
      <c r="I31" s="101"/>
      <c r="J31" s="101"/>
      <c r="K31" s="101"/>
      <c r="L31" s="101"/>
      <c r="M31" s="101"/>
      <c r="N31" s="101"/>
      <c r="O31" s="101"/>
      <c r="P31" s="102"/>
      <c r="Q31" s="101"/>
      <c r="R31" s="102"/>
      <c r="S31" s="102"/>
      <c r="T31" s="101"/>
      <c r="U31" s="102"/>
      <c r="V31" s="101"/>
      <c r="W31" s="102"/>
      <c r="X31" s="101"/>
      <c r="Y31" s="102"/>
      <c r="Z31" s="101"/>
      <c r="AA31" s="102"/>
      <c r="AB31" s="101"/>
      <c r="AC31" s="102"/>
      <c r="AD31" s="101"/>
      <c r="AE31" s="102"/>
      <c r="AF31" s="101"/>
      <c r="AG31" s="102"/>
      <c r="AH31" s="101"/>
      <c r="AI31" s="102"/>
      <c r="AJ31" s="101"/>
      <c r="AK31" s="102"/>
      <c r="AL31" s="101"/>
      <c r="AM31" s="102"/>
      <c r="AN31" s="101"/>
    </row>
    <row r="32" spans="1:40" ht="13.5" customHeight="1">
      <c r="A32" s="50"/>
      <c r="B32" s="63"/>
      <c r="C32" s="64"/>
      <c r="D32" s="64"/>
      <c r="E32" s="65"/>
      <c r="F32" s="54"/>
      <c r="G32" s="66"/>
      <c r="H32" s="66"/>
      <c r="I32" s="67"/>
      <c r="J32" s="68"/>
      <c r="K32" s="68"/>
      <c r="L32" s="67"/>
      <c r="M32" s="68"/>
      <c r="N32" s="68"/>
      <c r="O32" s="67"/>
      <c r="P32" s="68"/>
      <c r="Q32" s="68"/>
      <c r="R32" s="68"/>
      <c r="S32" s="68"/>
      <c r="T32" s="68"/>
      <c r="U32" s="68"/>
      <c r="V32" s="67"/>
      <c r="W32" s="68"/>
      <c r="X32" s="68"/>
      <c r="Y32" s="68"/>
      <c r="Z32" s="68"/>
      <c r="AA32" s="68"/>
      <c r="AB32" s="67"/>
      <c r="AC32" s="68"/>
      <c r="AD32" s="68"/>
      <c r="AE32" s="68"/>
      <c r="AF32" s="68"/>
      <c r="AG32" s="68"/>
      <c r="AH32" s="67"/>
      <c r="AI32" s="68"/>
      <c r="AJ32" s="68"/>
      <c r="AK32" s="68"/>
      <c r="AL32" s="68"/>
      <c r="AM32" s="68"/>
      <c r="AN32" s="67"/>
    </row>
    <row r="33" spans="1:40" ht="15.75" customHeight="1">
      <c r="A33" s="55" t="s">
        <v>206</v>
      </c>
      <c r="B33" s="63"/>
      <c r="C33" s="64"/>
      <c r="D33" s="70"/>
      <c r="E33" s="71"/>
      <c r="F33" s="54"/>
      <c r="G33" s="66"/>
      <c r="H33" s="66"/>
      <c r="I33" s="67"/>
      <c r="J33" s="68"/>
      <c r="K33" s="68"/>
      <c r="L33" s="67"/>
      <c r="M33" s="68"/>
      <c r="N33" s="68"/>
      <c r="O33" s="67">
        <v>0</v>
      </c>
      <c r="P33" s="68"/>
      <c r="Q33" s="73">
        <v>-20500</v>
      </c>
      <c r="R33" s="68"/>
      <c r="S33" s="68"/>
      <c r="T33" s="68"/>
      <c r="U33" s="68"/>
      <c r="V33" s="67">
        <f>O33+Q33+S33+T33</f>
        <v>-20500</v>
      </c>
      <c r="W33" s="68"/>
      <c r="X33" s="73">
        <v>-18350</v>
      </c>
      <c r="Y33" s="68"/>
      <c r="Z33" s="73">
        <v>38850</v>
      </c>
      <c r="AA33" s="68"/>
      <c r="AB33" s="67">
        <f>V33+X33+Z33</f>
        <v>0</v>
      </c>
      <c r="AC33" s="68"/>
      <c r="AD33" s="73">
        <v>-1500</v>
      </c>
      <c r="AE33" s="68"/>
      <c r="AF33" s="73">
        <v>1500</v>
      </c>
      <c r="AG33" s="68"/>
      <c r="AH33" s="67">
        <f>AB33+AD33+AF33</f>
        <v>0</v>
      </c>
      <c r="AI33" s="68"/>
      <c r="AJ33" s="73">
        <v>-7200</v>
      </c>
      <c r="AK33" s="68"/>
      <c r="AL33" s="73">
        <v>7200</v>
      </c>
      <c r="AM33" s="68"/>
      <c r="AN33" s="67">
        <f>AH33+AJ33+AL33</f>
        <v>0</v>
      </c>
    </row>
    <row r="34" spans="1:40" ht="15">
      <c r="A34" s="55"/>
      <c r="B34" s="99"/>
      <c r="C34" s="99"/>
      <c r="D34" s="99"/>
      <c r="E34" s="99"/>
      <c r="F34" s="100"/>
      <c r="G34" s="100"/>
      <c r="H34" s="100"/>
      <c r="I34" s="101"/>
      <c r="J34" s="101"/>
      <c r="K34" s="101"/>
      <c r="L34" s="101"/>
      <c r="M34" s="101"/>
      <c r="N34" s="101"/>
      <c r="O34" s="101"/>
      <c r="P34" s="103"/>
      <c r="Q34" s="101"/>
      <c r="R34" s="103"/>
      <c r="S34" s="103"/>
      <c r="T34" s="101"/>
      <c r="U34" s="103"/>
      <c r="V34" s="67"/>
      <c r="W34" s="103"/>
      <c r="X34" s="101"/>
      <c r="Y34" s="103"/>
      <c r="Z34" s="101"/>
      <c r="AA34" s="103"/>
      <c r="AB34" s="67"/>
      <c r="AC34" s="103"/>
      <c r="AD34" s="101"/>
      <c r="AE34" s="103"/>
      <c r="AF34" s="101"/>
      <c r="AG34" s="103"/>
      <c r="AH34" s="67"/>
      <c r="AI34" s="103"/>
      <c r="AJ34" s="101"/>
      <c r="AK34" s="103"/>
      <c r="AL34" s="101"/>
      <c r="AM34" s="103"/>
      <c r="AN34" s="67"/>
    </row>
    <row r="35" spans="1:40" ht="15">
      <c r="A35" s="55" t="s">
        <v>37</v>
      </c>
      <c r="B35" s="99"/>
      <c r="C35" s="99"/>
      <c r="D35" s="99"/>
      <c r="E35" s="99"/>
      <c r="F35" s="100"/>
      <c r="G35" s="100"/>
      <c r="H35" s="100"/>
      <c r="I35" s="101"/>
      <c r="J35" s="101"/>
      <c r="K35" s="101"/>
      <c r="L35" s="101"/>
      <c r="M35" s="101"/>
      <c r="N35" s="101"/>
      <c r="O35" s="67">
        <v>0</v>
      </c>
      <c r="P35" s="104"/>
      <c r="Q35" s="73">
        <v>-50000</v>
      </c>
      <c r="R35" s="68"/>
      <c r="S35" s="68"/>
      <c r="T35" s="68"/>
      <c r="U35" s="68"/>
      <c r="V35" s="67">
        <f>O35+Q35+S35+T35</f>
        <v>-50000</v>
      </c>
      <c r="W35" s="68"/>
      <c r="X35" s="73">
        <v>-7100</v>
      </c>
      <c r="Y35" s="68"/>
      <c r="Z35" s="73">
        <v>57100</v>
      </c>
      <c r="AA35" s="68"/>
      <c r="AB35" s="67">
        <f>V35+X35+Z35</f>
        <v>0</v>
      </c>
      <c r="AC35" s="68"/>
      <c r="AD35" s="73">
        <v>-500</v>
      </c>
      <c r="AE35" s="68"/>
      <c r="AF35" s="73">
        <v>500</v>
      </c>
      <c r="AG35" s="68"/>
      <c r="AH35" s="67">
        <f>AB35+AD35+AF35</f>
        <v>0</v>
      </c>
      <c r="AI35" s="68"/>
      <c r="AJ35" s="73"/>
      <c r="AK35" s="68"/>
      <c r="AL35" s="73"/>
      <c r="AM35" s="68"/>
      <c r="AN35" s="67">
        <f>AH35+AJ35+AL35</f>
        <v>0</v>
      </c>
    </row>
    <row r="36" spans="1:40" ht="15.75" thickBot="1">
      <c r="A36" s="55"/>
      <c r="B36" s="63"/>
      <c r="C36" s="63"/>
      <c r="D36" s="63"/>
      <c r="E36" s="63"/>
      <c r="F36" s="54"/>
      <c r="G36" s="54"/>
      <c r="H36" s="54"/>
      <c r="I36" s="67"/>
      <c r="J36" s="67"/>
      <c r="K36" s="67"/>
      <c r="L36" s="67"/>
      <c r="M36" s="67"/>
      <c r="N36" s="67"/>
      <c r="O36" s="75"/>
      <c r="P36" s="76"/>
      <c r="Q36" s="75"/>
      <c r="R36" s="76"/>
      <c r="S36" s="76"/>
      <c r="T36" s="75"/>
      <c r="U36" s="76"/>
      <c r="V36" s="75"/>
      <c r="W36" s="76"/>
      <c r="X36" s="75"/>
      <c r="Y36" s="76"/>
      <c r="Z36" s="75"/>
      <c r="AA36" s="76"/>
      <c r="AB36" s="75"/>
      <c r="AC36" s="76"/>
      <c r="AD36" s="75"/>
      <c r="AE36" s="76"/>
      <c r="AF36" s="75"/>
      <c r="AG36" s="76"/>
      <c r="AH36" s="75"/>
      <c r="AI36" s="76"/>
      <c r="AJ36" s="75"/>
      <c r="AK36" s="76"/>
      <c r="AL36" s="75"/>
      <c r="AM36" s="76"/>
      <c r="AN36" s="75"/>
    </row>
    <row r="37" spans="1:40" ht="15.75" thickBot="1">
      <c r="A37" s="55" t="s">
        <v>202</v>
      </c>
      <c r="B37" s="99"/>
      <c r="C37" s="99"/>
      <c r="D37" s="99"/>
      <c r="E37" s="99"/>
      <c r="F37" s="100"/>
      <c r="G37" s="100"/>
      <c r="H37" s="100"/>
      <c r="I37" s="101"/>
      <c r="J37" s="101"/>
      <c r="K37" s="101"/>
      <c r="L37" s="101"/>
      <c r="M37" s="101"/>
      <c r="N37" s="107"/>
      <c r="O37" s="77">
        <f>SUM(O32:O36)</f>
        <v>0</v>
      </c>
      <c r="P37" s="80"/>
      <c r="Q37" s="79">
        <f aca="true" t="shared" si="5" ref="Q37:AN37">SUM(Q32:Q36)</f>
        <v>-70500</v>
      </c>
      <c r="R37" s="79">
        <f t="shared" si="5"/>
        <v>0</v>
      </c>
      <c r="S37" s="79">
        <f t="shared" si="5"/>
        <v>0</v>
      </c>
      <c r="T37" s="79">
        <f t="shared" si="5"/>
        <v>0</v>
      </c>
      <c r="U37" s="79">
        <f t="shared" si="5"/>
        <v>0</v>
      </c>
      <c r="V37" s="79">
        <f t="shared" si="5"/>
        <v>-70500</v>
      </c>
      <c r="W37" s="79">
        <f t="shared" si="5"/>
        <v>0</v>
      </c>
      <c r="X37" s="79">
        <f t="shared" si="5"/>
        <v>-25450</v>
      </c>
      <c r="Y37" s="79">
        <f t="shared" si="5"/>
        <v>0</v>
      </c>
      <c r="Z37" s="79">
        <f t="shared" si="5"/>
        <v>95950</v>
      </c>
      <c r="AA37" s="79">
        <f t="shared" si="5"/>
        <v>0</v>
      </c>
      <c r="AB37" s="79">
        <f t="shared" si="5"/>
        <v>0</v>
      </c>
      <c r="AC37" s="79">
        <f t="shared" si="5"/>
        <v>0</v>
      </c>
      <c r="AD37" s="79">
        <f t="shared" si="5"/>
        <v>-2000</v>
      </c>
      <c r="AE37" s="79">
        <f t="shared" si="5"/>
        <v>0</v>
      </c>
      <c r="AF37" s="79">
        <f t="shared" si="5"/>
        <v>2000</v>
      </c>
      <c r="AG37" s="79">
        <f t="shared" si="5"/>
        <v>0</v>
      </c>
      <c r="AH37" s="79">
        <f t="shared" si="5"/>
        <v>0</v>
      </c>
      <c r="AI37" s="79">
        <f t="shared" si="5"/>
        <v>0</v>
      </c>
      <c r="AJ37" s="79">
        <f t="shared" si="5"/>
        <v>-7200</v>
      </c>
      <c r="AK37" s="79">
        <f t="shared" si="5"/>
        <v>0</v>
      </c>
      <c r="AL37" s="79">
        <f t="shared" si="5"/>
        <v>7200</v>
      </c>
      <c r="AM37" s="79">
        <f t="shared" si="5"/>
        <v>0</v>
      </c>
      <c r="AN37" s="110">
        <f t="shared" si="5"/>
        <v>0</v>
      </c>
    </row>
    <row r="38" spans="1:40" ht="15">
      <c r="A38" s="50"/>
      <c r="B38" s="63"/>
      <c r="C38" s="64"/>
      <c r="D38" s="64"/>
      <c r="E38" s="65"/>
      <c r="F38" s="54"/>
      <c r="G38" s="66"/>
      <c r="H38" s="66"/>
      <c r="I38" s="67"/>
      <c r="J38" s="68"/>
      <c r="K38" s="68"/>
      <c r="L38" s="67"/>
      <c r="M38" s="68"/>
      <c r="N38" s="68"/>
      <c r="O38" s="108"/>
      <c r="P38" s="111"/>
      <c r="Q38" s="109"/>
      <c r="R38" s="111"/>
      <c r="S38" s="111"/>
      <c r="T38" s="109"/>
      <c r="U38" s="111"/>
      <c r="V38" s="109"/>
      <c r="W38" s="111"/>
      <c r="X38" s="109"/>
      <c r="Y38" s="111"/>
      <c r="Z38" s="109"/>
      <c r="AA38" s="111"/>
      <c r="AB38" s="109"/>
      <c r="AC38" s="111"/>
      <c r="AD38" s="109"/>
      <c r="AE38" s="111"/>
      <c r="AF38" s="109"/>
      <c r="AG38" s="111"/>
      <c r="AH38" s="109"/>
      <c r="AI38" s="111"/>
      <c r="AJ38" s="109"/>
      <c r="AK38" s="111"/>
      <c r="AL38" s="109"/>
      <c r="AM38" s="111"/>
      <c r="AN38" s="109"/>
    </row>
    <row r="39" spans="1:40" ht="15">
      <c r="A39" s="55" t="s">
        <v>203</v>
      </c>
      <c r="B39" s="63"/>
      <c r="C39" s="64"/>
      <c r="D39" s="64"/>
      <c r="E39" s="65"/>
      <c r="F39" s="54"/>
      <c r="G39" s="66"/>
      <c r="H39" s="66"/>
      <c r="I39" s="67"/>
      <c r="J39" s="68"/>
      <c r="K39" s="68"/>
      <c r="L39" s="67"/>
      <c r="M39" s="68"/>
      <c r="N39" s="68"/>
      <c r="O39" s="67"/>
      <c r="P39" s="69"/>
      <c r="Q39" s="68"/>
      <c r="R39" s="69"/>
      <c r="S39" s="69"/>
      <c r="T39" s="68"/>
      <c r="U39" s="69"/>
      <c r="V39" s="67"/>
      <c r="W39" s="69"/>
      <c r="X39" s="68"/>
      <c r="Y39" s="69"/>
      <c r="Z39" s="68"/>
      <c r="AA39" s="69"/>
      <c r="AB39" s="67"/>
      <c r="AC39" s="69"/>
      <c r="AD39" s="68"/>
      <c r="AE39" s="69"/>
      <c r="AF39" s="68"/>
      <c r="AG39" s="69"/>
      <c r="AH39" s="67"/>
      <c r="AI39" s="69"/>
      <c r="AJ39" s="68"/>
      <c r="AK39" s="69"/>
      <c r="AL39" s="68"/>
      <c r="AM39" s="69"/>
      <c r="AN39" s="67"/>
    </row>
    <row r="40" spans="1:40" ht="15">
      <c r="A40" s="55"/>
      <c r="B40" s="49"/>
      <c r="C40" s="70"/>
      <c r="D40" s="70"/>
      <c r="E40" s="71"/>
      <c r="F40" s="54"/>
      <c r="G40" s="66"/>
      <c r="H40" s="66"/>
      <c r="I40" s="67"/>
      <c r="J40" s="68"/>
      <c r="K40" s="68"/>
      <c r="L40" s="67"/>
      <c r="M40" s="68"/>
      <c r="N40" s="68"/>
      <c r="O40" s="67"/>
      <c r="P40" s="68"/>
      <c r="Q40" s="68"/>
      <c r="R40" s="68"/>
      <c r="S40" s="68"/>
      <c r="T40" s="68"/>
      <c r="U40" s="68"/>
      <c r="V40" s="67"/>
      <c r="W40" s="68"/>
      <c r="X40" s="68"/>
      <c r="Y40" s="68"/>
      <c r="Z40" s="68"/>
      <c r="AA40" s="68"/>
      <c r="AB40" s="67"/>
      <c r="AC40" s="68"/>
      <c r="AD40" s="68"/>
      <c r="AE40" s="68"/>
      <c r="AF40" s="68"/>
      <c r="AG40" s="68"/>
      <c r="AH40" s="67"/>
      <c r="AI40" s="68"/>
      <c r="AJ40" s="68"/>
      <c r="AK40" s="68"/>
      <c r="AL40" s="68"/>
      <c r="AM40" s="68"/>
      <c r="AN40" s="67"/>
    </row>
    <row r="41" spans="1:41" s="40" customFormat="1" ht="15">
      <c r="A41" s="105" t="s">
        <v>204</v>
      </c>
      <c r="B41" s="70"/>
      <c r="C41" s="50"/>
      <c r="D41" s="50"/>
      <c r="E41" s="51"/>
      <c r="F41" s="53"/>
      <c r="G41" s="53"/>
      <c r="H41" s="53"/>
      <c r="I41" s="53"/>
      <c r="J41" s="53"/>
      <c r="K41" s="53"/>
      <c r="L41" s="53"/>
      <c r="M41" s="53"/>
      <c r="N41" s="53"/>
      <c r="O41" s="52">
        <v>0</v>
      </c>
      <c r="P41" s="53"/>
      <c r="Q41" s="53"/>
      <c r="R41" s="53"/>
      <c r="S41" s="53"/>
      <c r="T41" s="68"/>
      <c r="U41" s="68"/>
      <c r="V41" s="67">
        <f>O41+Q41+S41+T41</f>
        <v>0</v>
      </c>
      <c r="W41" s="50"/>
      <c r="X41" s="72">
        <v>-17500</v>
      </c>
      <c r="Y41" s="50"/>
      <c r="Z41" s="106">
        <v>15000</v>
      </c>
      <c r="AA41" s="50"/>
      <c r="AB41" s="67">
        <f>V41+X41+Z41</f>
        <v>-2500</v>
      </c>
      <c r="AC41" s="50"/>
      <c r="AD41" s="72">
        <v>-2500</v>
      </c>
      <c r="AE41" s="50"/>
      <c r="AF41" s="50"/>
      <c r="AG41" s="50"/>
      <c r="AH41" s="67">
        <f>AB41+AD41+AF41</f>
        <v>-5000</v>
      </c>
      <c r="AI41" s="50"/>
      <c r="AJ41" s="72">
        <v>-2500</v>
      </c>
      <c r="AK41" s="50"/>
      <c r="AL41" s="50"/>
      <c r="AM41" s="50"/>
      <c r="AN41" s="67">
        <f>AH41+AJ41+AL41</f>
        <v>-7500</v>
      </c>
      <c r="AO41" s="41"/>
    </row>
    <row r="42" spans="1:41" s="40" customFormat="1" ht="15">
      <c r="A42" s="105"/>
      <c r="B42" s="70"/>
      <c r="C42" s="50"/>
      <c r="D42" s="50"/>
      <c r="E42" s="51"/>
      <c r="F42" s="53"/>
      <c r="G42" s="53"/>
      <c r="H42" s="53"/>
      <c r="I42" s="53"/>
      <c r="J42" s="53"/>
      <c r="K42" s="53"/>
      <c r="L42" s="53"/>
      <c r="M42" s="53"/>
      <c r="N42" s="53"/>
      <c r="O42" s="101"/>
      <c r="P42" s="104"/>
      <c r="Q42" s="101"/>
      <c r="R42" s="104"/>
      <c r="S42" s="104"/>
      <c r="T42" s="101"/>
      <c r="U42" s="104"/>
      <c r="V42" s="67"/>
      <c r="W42" s="104"/>
      <c r="X42" s="101"/>
      <c r="Y42" s="104"/>
      <c r="Z42" s="101"/>
      <c r="AA42" s="104"/>
      <c r="AB42" s="67"/>
      <c r="AC42" s="104"/>
      <c r="AD42" s="101"/>
      <c r="AE42" s="104"/>
      <c r="AF42" s="101"/>
      <c r="AG42" s="104"/>
      <c r="AH42" s="67"/>
      <c r="AI42" s="104"/>
      <c r="AJ42" s="101"/>
      <c r="AK42" s="104"/>
      <c r="AL42" s="101"/>
      <c r="AM42" s="104"/>
      <c r="AN42" s="67"/>
      <c r="AO42" s="41"/>
    </row>
    <row r="43" spans="1:41" s="40" customFormat="1" ht="15">
      <c r="A43" s="105" t="s">
        <v>205</v>
      </c>
      <c r="B43" s="70"/>
      <c r="C43" s="50"/>
      <c r="D43" s="50"/>
      <c r="E43" s="51"/>
      <c r="F43" s="53"/>
      <c r="G43" s="53"/>
      <c r="H43" s="53"/>
      <c r="I43" s="53"/>
      <c r="J43" s="53"/>
      <c r="K43" s="53"/>
      <c r="L43" s="53"/>
      <c r="M43" s="53"/>
      <c r="N43" s="53"/>
      <c r="O43" s="52">
        <v>0</v>
      </c>
      <c r="P43" s="53"/>
      <c r="Q43" s="73">
        <v>-45221</v>
      </c>
      <c r="R43" s="53"/>
      <c r="S43" s="53"/>
      <c r="T43" s="53"/>
      <c r="U43" s="53"/>
      <c r="V43" s="67">
        <f>O43+Q43+S43+T43</f>
        <v>-45221</v>
      </c>
      <c r="W43" s="50"/>
      <c r="X43" s="50"/>
      <c r="Y43" s="50"/>
      <c r="Z43" s="50"/>
      <c r="AA43" s="50"/>
      <c r="AB43" s="67">
        <f>V43+X43+Z43</f>
        <v>-45221</v>
      </c>
      <c r="AC43" s="50"/>
      <c r="AD43" s="50"/>
      <c r="AE43" s="50"/>
      <c r="AF43" s="50"/>
      <c r="AG43" s="50"/>
      <c r="AH43" s="67">
        <f>AB43+AD43+AF43</f>
        <v>-45221</v>
      </c>
      <c r="AI43" s="50"/>
      <c r="AJ43" s="50"/>
      <c r="AK43" s="50"/>
      <c r="AL43" s="50"/>
      <c r="AM43" s="50"/>
      <c r="AN43" s="67">
        <f>AH43+AJ43+AL43</f>
        <v>-45221</v>
      </c>
      <c r="AO43" s="41"/>
    </row>
    <row r="47" spans="1:41" s="40" customFormat="1" ht="12.75" customHeight="1">
      <c r="A47" s="47"/>
      <c r="B47" s="48"/>
      <c r="C47" s="41"/>
      <c r="D47" s="41"/>
      <c r="E47" s="43"/>
      <c r="O47" s="44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s="40" customFormat="1" ht="15">
      <c r="A48" s="47"/>
      <c r="B48" s="48"/>
      <c r="C48" s="41"/>
      <c r="D48" s="41"/>
      <c r="E48" s="43"/>
      <c r="O48" s="44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s="48" customFormat="1" ht="15">
      <c r="A49" s="47"/>
      <c r="C49" s="41"/>
      <c r="D49" s="41"/>
      <c r="E49" s="43"/>
      <c r="F49" s="40"/>
      <c r="G49" s="40"/>
      <c r="H49" s="40"/>
      <c r="I49" s="40"/>
      <c r="J49" s="40"/>
      <c r="K49" s="40"/>
      <c r="L49" s="40"/>
      <c r="M49" s="40"/>
      <c r="N49" s="40"/>
      <c r="O49" s="44"/>
      <c r="P49" s="40"/>
      <c r="Q49" s="40"/>
      <c r="R49" s="40"/>
      <c r="S49" s="40"/>
      <c r="T49" s="40"/>
      <c r="U49" s="40"/>
      <c r="V49" s="40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41" s="48" customFormat="1" ht="15">
      <c r="A50" s="47"/>
      <c r="C50" s="41"/>
      <c r="D50" s="41"/>
      <c r="E50" s="43"/>
      <c r="F50" s="40"/>
      <c r="G50" s="40"/>
      <c r="H50" s="40"/>
      <c r="I50" s="40"/>
      <c r="J50" s="40"/>
      <c r="K50" s="40"/>
      <c r="L50" s="40"/>
      <c r="M50" s="40"/>
      <c r="N50" s="40"/>
      <c r="O50" s="44"/>
      <c r="P50" s="40"/>
      <c r="Q50" s="40"/>
      <c r="R50" s="40"/>
      <c r="S50" s="40"/>
      <c r="T50" s="40"/>
      <c r="U50" s="40"/>
      <c r="V50" s="40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1:41" s="48" customFormat="1" ht="15">
      <c r="A51" s="47"/>
      <c r="C51" s="41"/>
      <c r="D51" s="41"/>
      <c r="E51" s="43"/>
      <c r="F51" s="40"/>
      <c r="G51" s="40"/>
      <c r="H51" s="40"/>
      <c r="I51" s="40"/>
      <c r="J51" s="40"/>
      <c r="K51" s="40"/>
      <c r="L51" s="40"/>
      <c r="M51" s="40"/>
      <c r="N51" s="40"/>
      <c r="O51" s="44"/>
      <c r="P51" s="40"/>
      <c r="Q51" s="40"/>
      <c r="R51" s="40"/>
      <c r="S51" s="40"/>
      <c r="T51" s="40"/>
      <c r="U51" s="40"/>
      <c r="V51" s="40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1:41" s="48" customFormat="1" ht="15">
      <c r="A52" s="47"/>
      <c r="C52" s="41"/>
      <c r="D52" s="41"/>
      <c r="E52" s="43"/>
      <c r="F52" s="40"/>
      <c r="G52" s="40"/>
      <c r="H52" s="40"/>
      <c r="I52" s="40"/>
      <c r="J52" s="40"/>
      <c r="K52" s="40"/>
      <c r="L52" s="40"/>
      <c r="M52" s="40"/>
      <c r="N52" s="40"/>
      <c r="O52" s="44"/>
      <c r="P52" s="40"/>
      <c r="Q52" s="40"/>
      <c r="R52" s="40"/>
      <c r="S52" s="40"/>
      <c r="T52" s="40"/>
      <c r="U52" s="40"/>
      <c r="V52" s="40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1:41" s="48" customFormat="1" ht="15">
      <c r="A53" s="47"/>
      <c r="C53" s="41"/>
      <c r="D53" s="41"/>
      <c r="E53" s="43"/>
      <c r="F53" s="40"/>
      <c r="G53" s="40"/>
      <c r="H53" s="40"/>
      <c r="I53" s="40"/>
      <c r="J53" s="40"/>
      <c r="K53" s="40"/>
      <c r="L53" s="40"/>
      <c r="M53" s="40"/>
      <c r="N53" s="40"/>
      <c r="O53" s="44"/>
      <c r="P53" s="40"/>
      <c r="Q53" s="40"/>
      <c r="R53" s="40"/>
      <c r="S53" s="40"/>
      <c r="T53" s="40"/>
      <c r="U53" s="40"/>
      <c r="V53" s="40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1:41" s="48" customFormat="1" ht="15">
      <c r="A54" s="47"/>
      <c r="C54" s="41"/>
      <c r="D54" s="41"/>
      <c r="E54" s="43"/>
      <c r="F54" s="40"/>
      <c r="G54" s="40"/>
      <c r="H54" s="40"/>
      <c r="I54" s="40"/>
      <c r="J54" s="40"/>
      <c r="K54" s="40"/>
      <c r="L54" s="40"/>
      <c r="M54" s="40"/>
      <c r="N54" s="40"/>
      <c r="O54" s="44"/>
      <c r="P54" s="40"/>
      <c r="Q54" s="40"/>
      <c r="R54" s="40"/>
      <c r="S54" s="40"/>
      <c r="T54" s="40"/>
      <c r="U54" s="40"/>
      <c r="V54" s="40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</row>
  </sheetData>
  <sheetProtection/>
  <mergeCells count="35">
    <mergeCell ref="W5:Z5"/>
    <mergeCell ref="B1:E1"/>
    <mergeCell ref="F1:R1"/>
    <mergeCell ref="C3:E3"/>
    <mergeCell ref="G3:H3"/>
    <mergeCell ref="J3:K3"/>
    <mergeCell ref="M3:N3"/>
    <mergeCell ref="P3:R3"/>
    <mergeCell ref="M4:N4"/>
    <mergeCell ref="J5:K5"/>
    <mergeCell ref="O6:O7"/>
    <mergeCell ref="P6:T6"/>
    <mergeCell ref="U6:U7"/>
    <mergeCell ref="V6:V7"/>
    <mergeCell ref="M6:N6"/>
    <mergeCell ref="M5:N5"/>
    <mergeCell ref="P5:T5"/>
    <mergeCell ref="W6:Z6"/>
    <mergeCell ref="AA6:AA7"/>
    <mergeCell ref="AI5:AL5"/>
    <mergeCell ref="C6:D6"/>
    <mergeCell ref="E6:E7"/>
    <mergeCell ref="F6:F7"/>
    <mergeCell ref="G6:H6"/>
    <mergeCell ref="I6:I7"/>
    <mergeCell ref="J6:K6"/>
    <mergeCell ref="L6:L7"/>
    <mergeCell ref="AC5:AF5"/>
    <mergeCell ref="AN6:AN7"/>
    <mergeCell ref="AB6:AB7"/>
    <mergeCell ref="AC6:AF6"/>
    <mergeCell ref="AG6:AG7"/>
    <mergeCell ref="AH6:AH7"/>
    <mergeCell ref="AI6:AL6"/>
    <mergeCell ref="AM6:AM7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8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131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 t="s">
        <v>129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">
        <v>199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9">
        <f>Museum!L11</f>
        <v>2044.395</v>
      </c>
      <c r="M5" s="9">
        <f>Museum!M11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9">
        <f>'Caravan Site'!L8</f>
        <v>1300</v>
      </c>
      <c r="M6" s="9">
        <f>'Caravan Site'!M8</f>
        <v>1300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CCTV!C13</f>
        <v>292400</v>
      </c>
      <c r="D7" s="9">
        <f>CCTV!D13</f>
        <v>138405.84791386273</v>
      </c>
      <c r="E7" s="9">
        <f>CCTV!E13</f>
        <v>90386</v>
      </c>
      <c r="F7" s="9">
        <f>CCTV!F13</f>
        <v>45910.847913862715</v>
      </c>
      <c r="G7" s="9">
        <f>CCTV!G13</f>
        <v>117894.15208613727</v>
      </c>
      <c r="H7" s="9">
        <f>CCTV!H13</f>
        <v>-2109</v>
      </c>
      <c r="I7" s="9">
        <f>CCTV!I13</f>
        <v>18042.960969044412</v>
      </c>
      <c r="J7" s="9">
        <f>CCTV!J13</f>
        <v>255245</v>
      </c>
      <c r="K7" s="9">
        <f>CCTV!K13</f>
        <v>264171.85</v>
      </c>
      <c r="L7" s="9">
        <f>CCTV!L13</f>
        <v>272097.0055</v>
      </c>
      <c r="M7" s="9">
        <f>CCTV!M13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9">
        <f>Events!L12</f>
        <v>52966.99</v>
      </c>
      <c r="M8" s="9">
        <f>Events!M12</f>
        <v>53001.9997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Theatre'!C15</f>
        <v>159100</v>
      </c>
      <c r="D9" s="9">
        <f>'Marina Theatre'!D15</f>
        <v>154207</v>
      </c>
      <c r="E9" s="9">
        <f>'Marina Theatre'!E15</f>
        <v>207</v>
      </c>
      <c r="F9" s="9">
        <f>'Marina Theatre'!F15</f>
        <v>150000</v>
      </c>
      <c r="G9" s="9">
        <f>'Marina Theatre'!G15</f>
        <v>0</v>
      </c>
      <c r="H9" s="9">
        <f>'Marina Theatre'!H15</f>
        <v>-4000</v>
      </c>
      <c r="I9" s="9">
        <f>'Marina Theatre'!I15</f>
        <v>0</v>
      </c>
      <c r="J9" s="9">
        <f>'Marina Theatre'!J15</f>
        <v>170100</v>
      </c>
      <c r="K9" s="9">
        <f>'Marina Theatre'!K15</f>
        <v>176667</v>
      </c>
      <c r="L9" s="9">
        <f>'Marina Theatre'!L15</f>
        <v>180000</v>
      </c>
      <c r="M9" s="9">
        <f>'Marina Theatre'!M15</f>
        <v>180000</v>
      </c>
      <c r="N9" s="2"/>
      <c r="O9" s="2"/>
      <c r="P9" s="2"/>
      <c r="Q9" s="2"/>
      <c r="R9" s="2"/>
    </row>
    <row r="10" spans="2:18" ht="15">
      <c r="B10" s="5" t="s">
        <v>210</v>
      </c>
      <c r="C10" s="9">
        <f>SUM(C11:C17)</f>
        <v>471600</v>
      </c>
      <c r="D10" s="9">
        <f aca="true" t="shared" si="0" ref="D10:M10">SUM(D11:D17)</f>
        <v>227720.44414535668</v>
      </c>
      <c r="E10" s="9">
        <f t="shared" si="0"/>
        <v>161883.9851951548</v>
      </c>
      <c r="F10" s="9">
        <f t="shared" si="0"/>
        <v>82234.07537012114</v>
      </c>
      <c r="G10" s="9">
        <f t="shared" si="0"/>
        <v>151051.45760430687</v>
      </c>
      <c r="H10" s="9">
        <f t="shared" si="0"/>
        <v>16397.616419919243</v>
      </c>
      <c r="I10" s="9">
        <f t="shared" si="0"/>
        <v>28887.21399730821</v>
      </c>
      <c r="J10" s="9">
        <f t="shared" si="0"/>
        <v>468145</v>
      </c>
      <c r="K10" s="9">
        <f t="shared" si="0"/>
        <v>608068.6</v>
      </c>
      <c r="L10" s="9">
        <f t="shared" si="0"/>
        <v>621400.258</v>
      </c>
      <c r="M10" s="9">
        <f t="shared" si="0"/>
        <v>635140.96574</v>
      </c>
      <c r="N10" s="2"/>
      <c r="O10" s="2"/>
      <c r="P10" s="2"/>
      <c r="Q10" s="2"/>
      <c r="R10" s="2"/>
    </row>
    <row r="11" spans="2:18" ht="15" hidden="1">
      <c r="B11" s="5" t="str">
        <f>'Open Spaces'!B2</f>
        <v>Allotments, Open Spaces, &amp; East of England Park</v>
      </c>
      <c r="C11" s="9">
        <f>'Open Spaces'!C16</f>
        <v>7200</v>
      </c>
      <c r="D11" s="9">
        <f>'Open Spaces'!D16</f>
        <v>4274.697173620458</v>
      </c>
      <c r="E11" s="9">
        <f>'Open Spaces'!E16</f>
        <v>3138.4925975773895</v>
      </c>
      <c r="F11" s="9">
        <f>'Open Spaces'!F16</f>
        <v>1136.2045760430685</v>
      </c>
      <c r="G11" s="9">
        <f>'Open Spaces'!G16</f>
        <v>2925.3028263795422</v>
      </c>
      <c r="H11" s="9">
        <f>'Open Spaces'!H16</f>
        <v>0</v>
      </c>
      <c r="I11" s="9">
        <f>'Open Spaces'!I16</f>
        <v>447.69851951547776</v>
      </c>
      <c r="J11" s="9">
        <f>'Open Spaces'!J16</f>
        <v>7200</v>
      </c>
      <c r="K11" s="9">
        <f>'Open Spaces'!K16</f>
        <v>82420.5</v>
      </c>
      <c r="L11" s="9">
        <f>'Open Spaces'!L16</f>
        <v>82616.11500000002</v>
      </c>
      <c r="M11" s="9">
        <f>'Open Spaces'!M16</f>
        <v>82817.59845</v>
      </c>
      <c r="N11" s="2"/>
      <c r="O11" s="2"/>
      <c r="P11" s="2"/>
      <c r="Q11" s="2"/>
      <c r="R11" s="2"/>
    </row>
    <row r="12" spans="2:18" ht="15" hidden="1">
      <c r="B12" s="5" t="str">
        <f>'Sparrows Nest'!B2</f>
        <v>Sparrows Nest Park &amp; Sports Ground</v>
      </c>
      <c r="C12" s="9">
        <f>'Sparrows Nest'!C17</f>
        <v>131500</v>
      </c>
      <c r="D12" s="9">
        <f>'Sparrows Nest'!D17</f>
        <v>50253.562584118445</v>
      </c>
      <c r="E12" s="9">
        <f>'Sparrows Nest'!E17</f>
        <v>45503.802153432036</v>
      </c>
      <c r="F12" s="9">
        <f>'Sparrows Nest'!F17</f>
        <v>22969.37685060565</v>
      </c>
      <c r="G12" s="9">
        <f>'Sparrows Nest'!G17</f>
        <v>18530.820995962316</v>
      </c>
      <c r="H12" s="9">
        <f>'Sparrows Nest'!H17</f>
        <v>18219.616419919243</v>
      </c>
      <c r="I12" s="9">
        <f>'Sparrows Nest'!I17</f>
        <v>8605.760430686407</v>
      </c>
      <c r="J12" s="9">
        <f>'Sparrows Nest'!J17</f>
        <v>129745</v>
      </c>
      <c r="K12" s="9">
        <f>'Sparrows Nest'!K17</f>
        <v>132947.6</v>
      </c>
      <c r="L12" s="9">
        <f>'Sparrows Nest'!L17</f>
        <v>135802.628</v>
      </c>
      <c r="M12" s="9">
        <f>'Sparrows Nest'!M17</f>
        <v>138752.40684</v>
      </c>
      <c r="N12" s="2"/>
      <c r="O12" s="2"/>
      <c r="P12" s="2"/>
      <c r="Q12" s="2"/>
      <c r="R12" s="2"/>
    </row>
    <row r="13" spans="2:18" ht="15" hidden="1">
      <c r="B13" s="5" t="str">
        <f>'Belle Vue'!B2</f>
        <v>Belle Vue Park </v>
      </c>
      <c r="C13" s="9">
        <f>'Belle Vue'!C11</f>
        <v>16100</v>
      </c>
      <c r="D13" s="9">
        <f>'Belle Vue'!D11</f>
        <v>8570.598923283984</v>
      </c>
      <c r="E13" s="9">
        <f>'Belle Vue'!E11</f>
        <v>5685</v>
      </c>
      <c r="F13" s="9">
        <f>'Belle Vue'!F11</f>
        <v>2885.598923283984</v>
      </c>
      <c r="G13" s="9">
        <f>'Belle Vue'!G11</f>
        <v>7429.401076716016</v>
      </c>
      <c r="H13" s="9">
        <f>'Belle Vue'!H11</f>
        <v>0</v>
      </c>
      <c r="I13" s="9">
        <f>'Belle Vue'!I11</f>
        <v>1137.0121130551818</v>
      </c>
      <c r="J13" s="9">
        <f>'Belle Vue'!J11</f>
        <v>16100</v>
      </c>
      <c r="K13" s="9">
        <f>'Belle Vue'!K11</f>
        <v>16663</v>
      </c>
      <c r="L13" s="9">
        <f>'Belle Vue'!L11</f>
        <v>17162.89</v>
      </c>
      <c r="M13" s="9">
        <f>'Belle Vue'!M11</f>
        <v>17677.776700000002</v>
      </c>
      <c r="N13" s="2"/>
      <c r="O13" s="2"/>
      <c r="P13" s="2"/>
      <c r="Q13" s="2"/>
      <c r="R13" s="2"/>
    </row>
    <row r="14" spans="2:18" ht="15" hidden="1">
      <c r="B14" s="5" t="str">
        <f>'Kensington Gdns'!B2</f>
        <v>Kensington Gardens Park, Lake, &amp; Sports Ground </v>
      </c>
      <c r="C14" s="9">
        <f>'Kensington Gdns'!C14</f>
        <v>94900</v>
      </c>
      <c r="D14" s="9">
        <f>'Kensington Gdns'!D14</f>
        <v>49273.10901749664</v>
      </c>
      <c r="E14" s="9">
        <f>'Kensington Gdns'!E14</f>
        <v>32024</v>
      </c>
      <c r="F14" s="9">
        <f>'Kensington Gdns'!F14</f>
        <v>17254.109017496638</v>
      </c>
      <c r="G14" s="9">
        <f>'Kensington Gdns'!G14</f>
        <v>41278.89098250336</v>
      </c>
      <c r="H14" s="9">
        <f>'Kensington Gdns'!H14</f>
        <v>5</v>
      </c>
      <c r="I14" s="9">
        <f>'Kensington Gdns'!I14</f>
        <v>6317.523553162853</v>
      </c>
      <c r="J14" s="9">
        <f>'Kensington Gdns'!J14</f>
        <v>94905</v>
      </c>
      <c r="K14" s="9">
        <f>'Kensington Gdns'!K14</f>
        <v>98196.65</v>
      </c>
      <c r="L14" s="9">
        <f>'Kensington Gdns'!L14</f>
        <v>101142.5495</v>
      </c>
      <c r="M14" s="9">
        <f>'Kensington Gdns'!M14</f>
        <v>104176.825985</v>
      </c>
      <c r="N14" s="2"/>
      <c r="O14" s="2"/>
      <c r="P14" s="2"/>
      <c r="Q14" s="2"/>
      <c r="R14" s="2"/>
    </row>
    <row r="15" spans="2:18" ht="15" hidden="1">
      <c r="B15" s="5" t="str">
        <f>'Play Areas'!B2</f>
        <v>Play Areas</v>
      </c>
      <c r="C15" s="9">
        <f>'Play Areas'!C29</f>
        <v>39300</v>
      </c>
      <c r="D15" s="9">
        <f>'Play Areas'!D29</f>
        <v>18505.518169582767</v>
      </c>
      <c r="E15" s="9">
        <f>'Play Areas'!E29</f>
        <v>12009.690444145352</v>
      </c>
      <c r="F15" s="9">
        <f>'Play Areas'!F29</f>
        <v>6095.827725437418</v>
      </c>
      <c r="G15" s="9">
        <f>'Play Areas'!G29</f>
        <v>0</v>
      </c>
      <c r="H15" s="9">
        <f>'Play Areas'!H29</f>
        <v>-400</v>
      </c>
      <c r="I15" s="9">
        <f>'Play Areas'!I29</f>
        <v>0</v>
      </c>
      <c r="J15" s="9">
        <f>'Play Areas'!J29</f>
        <v>38000</v>
      </c>
      <c r="K15" s="9">
        <f>'Play Areas'!K29</f>
        <v>89309</v>
      </c>
      <c r="L15" s="9">
        <f>'Play Areas'!L29</f>
        <v>90488.27</v>
      </c>
      <c r="M15" s="9">
        <f>'Play Areas'!M29</f>
        <v>91702.91810000001</v>
      </c>
      <c r="N15" s="2"/>
      <c r="O15" s="2"/>
      <c r="P15" s="2"/>
      <c r="Q15" s="2"/>
      <c r="R15" s="2"/>
    </row>
    <row r="16" spans="2:18" ht="15" hidden="1">
      <c r="B16" s="5" t="str">
        <f>'Denes Oval'!B2</f>
        <v>Denes Oval</v>
      </c>
      <c r="C16" s="9">
        <f>'Denes Oval'!C14</f>
        <v>85900</v>
      </c>
      <c r="D16" s="9">
        <f>'Denes Oval'!D14</f>
        <v>45807.009421265146</v>
      </c>
      <c r="E16" s="9">
        <f>'Denes Oval'!E14</f>
        <v>30633</v>
      </c>
      <c r="F16" s="9">
        <f>'Denes Oval'!F14</f>
        <v>15234.009421265142</v>
      </c>
      <c r="G16" s="9">
        <f>'Denes Oval'!G14</f>
        <v>38492.990578734854</v>
      </c>
      <c r="H16" s="9">
        <f>'Denes Oval'!H14</f>
        <v>60</v>
      </c>
      <c r="I16" s="9">
        <f>'Denes Oval'!I14</f>
        <v>5891.144010767159</v>
      </c>
      <c r="J16" s="9">
        <f>'Denes Oval'!J14</f>
        <v>85995</v>
      </c>
      <c r="K16" s="9">
        <f>'Denes Oval'!K14</f>
        <v>88989.35</v>
      </c>
      <c r="L16" s="9">
        <f>'Denes Oval'!L14</f>
        <v>91659.0305</v>
      </c>
      <c r="M16" s="9">
        <f>'Denes Oval'!M14</f>
        <v>94408.80141500001</v>
      </c>
      <c r="N16" s="2"/>
      <c r="O16" s="2"/>
      <c r="P16" s="2"/>
      <c r="Q16" s="2"/>
      <c r="R16" s="2"/>
    </row>
    <row r="17" spans="2:18" ht="15" hidden="1">
      <c r="B17" s="5" t="str">
        <f>'Normanston Park'!B2</f>
        <v>Normanston Park</v>
      </c>
      <c r="C17" s="9">
        <f>'Normanston Park'!C12</f>
        <v>96700</v>
      </c>
      <c r="D17" s="9">
        <f>'Normanston Park'!D12</f>
        <v>51035.948855989234</v>
      </c>
      <c r="E17" s="9">
        <f>'Normanston Park'!E12</f>
        <v>32890</v>
      </c>
      <c r="F17" s="9">
        <f>'Normanston Park'!F12</f>
        <v>16658.948855989234</v>
      </c>
      <c r="G17" s="9">
        <f>'Normanston Park'!G12</f>
        <v>42394.051144010766</v>
      </c>
      <c r="H17" s="9">
        <f>'Normanston Park'!H12</f>
        <v>-1487</v>
      </c>
      <c r="I17" s="9">
        <f>'Normanston Park'!I12</f>
        <v>6488.075370121131</v>
      </c>
      <c r="J17" s="9">
        <f>'Normanston Park'!J12</f>
        <v>96200</v>
      </c>
      <c r="K17" s="9">
        <f>'Normanston Park'!K12</f>
        <v>99542.49999999999</v>
      </c>
      <c r="L17" s="9">
        <f>'Normanston Park'!L12</f>
        <v>102528.775</v>
      </c>
      <c r="M17" s="9">
        <f>'Normanston Park'!M12</f>
        <v>105604.63824999999</v>
      </c>
      <c r="N17" s="2"/>
      <c r="O17" s="2"/>
      <c r="P17" s="2"/>
      <c r="Q17" s="2"/>
      <c r="R17" s="2"/>
    </row>
    <row r="18" spans="2:18" ht="15">
      <c r="B18" s="5" t="s">
        <v>200</v>
      </c>
      <c r="C18" s="9">
        <f>SUM(C19:C24)</f>
        <v>51800</v>
      </c>
      <c r="D18" s="9">
        <f aca="true" t="shared" si="1" ref="D18:M18">SUM(D19:D24)</f>
        <v>29023.117092866756</v>
      </c>
      <c r="E18" s="9">
        <f t="shared" si="1"/>
        <v>20003</v>
      </c>
      <c r="F18" s="9">
        <f t="shared" si="1"/>
        <v>8104.117092866756</v>
      </c>
      <c r="G18" s="9">
        <f t="shared" si="1"/>
        <v>20058.882907133244</v>
      </c>
      <c r="H18" s="9">
        <f t="shared" si="1"/>
        <v>-916</v>
      </c>
      <c r="I18" s="9">
        <f t="shared" si="1"/>
        <v>3069.9327052489907</v>
      </c>
      <c r="J18" s="9">
        <f t="shared" si="1"/>
        <v>52234</v>
      </c>
      <c r="K18" s="9">
        <f t="shared" si="1"/>
        <v>57197.200000000004</v>
      </c>
      <c r="L18" s="9">
        <f t="shared" si="1"/>
        <v>58688.116</v>
      </c>
      <c r="M18" s="9">
        <f t="shared" si="1"/>
        <v>60223.75948</v>
      </c>
      <c r="N18" s="2"/>
      <c r="O18" s="2"/>
      <c r="P18" s="2"/>
      <c r="Q18" s="2"/>
      <c r="R18" s="2"/>
    </row>
    <row r="19" spans="2:18" ht="15" hidden="1">
      <c r="B19" s="17" t="str">
        <f>'Pakefield St PC'!B2</f>
        <v>Pakefield Street Public Convenience</v>
      </c>
      <c r="C19" s="9">
        <f>'Pakefield St PC'!C12</f>
        <v>7800</v>
      </c>
      <c r="D19" s="9">
        <f>'Pakefield St PC'!D12</f>
        <v>4507.029609690444</v>
      </c>
      <c r="E19" s="9">
        <f>'Pakefield St PC'!E12</f>
        <v>3464</v>
      </c>
      <c r="F19" s="9">
        <f>'Pakefield St PC'!F12</f>
        <v>1207.029609690444</v>
      </c>
      <c r="G19" s="9">
        <f>'Pakefield St PC'!G12</f>
        <v>2692.970390309556</v>
      </c>
      <c r="H19" s="9">
        <f>'Pakefield St PC'!H12</f>
        <v>164</v>
      </c>
      <c r="I19" s="9">
        <f>'Pakefield St PC'!I12</f>
        <v>412.16689098250333</v>
      </c>
      <c r="J19" s="9">
        <f>'Pakefield St PC'!J12</f>
        <v>7942</v>
      </c>
      <c r="K19" s="9">
        <f>'Pakefield St PC'!K12</f>
        <v>7032.999999999999</v>
      </c>
      <c r="L19" s="9">
        <f>'Pakefield St PC'!L12</f>
        <v>7243.99</v>
      </c>
      <c r="M19" s="9">
        <f>'Pakefield St PC'!M12</f>
        <v>7461.309699999999</v>
      </c>
      <c r="N19" s="9">
        <f>'Pakefield St PC'!N12</f>
        <v>0</v>
      </c>
      <c r="O19" s="9">
        <f>'Pakefield St PC'!O12</f>
        <v>0</v>
      </c>
      <c r="P19" s="9">
        <f>'Pakefield St PC'!P12</f>
        <v>0</v>
      </c>
      <c r="Q19" s="2"/>
      <c r="R19" s="2"/>
    </row>
    <row r="20" spans="2:18" ht="15" hidden="1">
      <c r="B20" s="5" t="str">
        <f>'The Triangle PC'!B2</f>
        <v>The Triangle Public Convenience</v>
      </c>
      <c r="C20" s="9">
        <f>'The Triangle PC'!C11</f>
        <v>9500</v>
      </c>
      <c r="D20" s="9">
        <f>'The Triangle PC'!D11</f>
        <v>5235.309555854643</v>
      </c>
      <c r="E20" s="9">
        <f>'The Triangle PC'!E11</f>
        <v>3440</v>
      </c>
      <c r="F20" s="9">
        <f>'The Triangle PC'!F11</f>
        <v>1190.3095558546433</v>
      </c>
      <c r="G20" s="9">
        <f>'The Triangle PC'!G11</f>
        <v>3064.690444145357</v>
      </c>
      <c r="H20" s="9">
        <f>'The Triangle PC'!H11</f>
        <v>-605</v>
      </c>
      <c r="I20" s="9">
        <f>'The Triangle PC'!I11</f>
        <v>469.0174966352624</v>
      </c>
      <c r="J20" s="9">
        <f>'The Triangle PC'!J11</f>
        <v>9495</v>
      </c>
      <c r="K20" s="9">
        <f>'The Triangle PC'!K11</f>
        <v>8685</v>
      </c>
      <c r="L20" s="9">
        <f>'The Triangle PC'!L11</f>
        <v>8945.55</v>
      </c>
      <c r="M20" s="9">
        <f>'The Triangle PC'!M11</f>
        <v>9213.9165</v>
      </c>
      <c r="N20" s="2"/>
      <c r="O20" s="2"/>
      <c r="P20" s="2"/>
      <c r="Q20" s="2"/>
      <c r="R20" s="2"/>
    </row>
    <row r="21" spans="2:18" ht="15" hidden="1">
      <c r="B21" s="5" t="str">
        <f>'Kn Gdns PC'!B2</f>
        <v>Kensington Gardens Public Convenience</v>
      </c>
      <c r="C21" s="9">
        <f>'Kn Gdns PC'!C13</f>
        <v>21800</v>
      </c>
      <c r="D21" s="9">
        <f>'Kn Gdns PC'!D13</f>
        <v>12542.578734858682</v>
      </c>
      <c r="E21" s="9">
        <f>'Kn Gdns PC'!E13</f>
        <v>8709</v>
      </c>
      <c r="F21" s="9">
        <f>'Kn Gdns PC'!F13</f>
        <v>3458.578734858681</v>
      </c>
      <c r="G21" s="9">
        <f>'Kn Gdns PC'!G13</f>
        <v>8729.421265141318</v>
      </c>
      <c r="H21" s="9">
        <f>'Kn Gdns PC'!H13</f>
        <v>-375</v>
      </c>
      <c r="I21" s="9">
        <f>'Kn Gdns PC'!I13</f>
        <v>1335.9892328398385</v>
      </c>
      <c r="J21" s="9">
        <f>'Kn Gdns PC'!J13</f>
        <v>22117</v>
      </c>
      <c r="K21" s="9">
        <f>'Kn Gdns PC'!K13</f>
        <v>20858.8</v>
      </c>
      <c r="L21" s="9">
        <f>'Kn Gdns PC'!L13</f>
        <v>21484.564000000002</v>
      </c>
      <c r="M21" s="9">
        <f>'Kn Gdns PC'!M13</f>
        <v>22129.10092</v>
      </c>
      <c r="N21" s="2"/>
      <c r="O21" s="2"/>
      <c r="P21" s="2"/>
      <c r="Q21" s="2"/>
      <c r="R21" s="2"/>
    </row>
    <row r="22" spans="2:18" ht="15" hidden="1">
      <c r="B22" s="5" t="str">
        <f>'Kirkley Cliff Rd PC'!B2</f>
        <v>Kirkley Cliff Road Public Convenience</v>
      </c>
      <c r="C22" s="9">
        <f>'Kirkley Cliff Rd PC'!C12</f>
        <v>6200</v>
      </c>
      <c r="D22" s="9">
        <f>'Kirkley Cliff Rd PC'!D12</f>
        <v>3321.1695827725434</v>
      </c>
      <c r="E22" s="9">
        <f>'Kirkley Cliff Rd PC'!E12</f>
        <v>2203</v>
      </c>
      <c r="F22" s="9">
        <f>'Kirkley Cliff Rd PC'!F12</f>
        <v>1118.1695827725437</v>
      </c>
      <c r="G22" s="9">
        <f>'Kirkley Cliff Rd PC'!G12</f>
        <v>2878.8304172274566</v>
      </c>
      <c r="H22" s="9">
        <f>'Kirkley Cliff Rd PC'!H12</f>
        <v>0</v>
      </c>
      <c r="I22" s="9">
        <f>'Kirkley Cliff Rd PC'!I12</f>
        <v>440.592193808883</v>
      </c>
      <c r="J22" s="9">
        <f>'Kirkley Cliff Rd PC'!J12</f>
        <v>6200</v>
      </c>
      <c r="K22" s="9">
        <f>'Kirkley Cliff Rd PC'!K12</f>
        <v>6416.999999999999</v>
      </c>
      <c r="L22" s="9">
        <f>'Kirkley Cliff Rd PC'!L12</f>
        <v>6609.509999999999</v>
      </c>
      <c r="M22" s="9">
        <f>'Kirkley Cliff Rd PC'!M12</f>
        <v>6807.7953</v>
      </c>
      <c r="N22" s="2"/>
      <c r="O22" s="2"/>
      <c r="P22" s="2"/>
      <c r="Q22" s="2"/>
      <c r="R22" s="2"/>
    </row>
    <row r="23" spans="2:18" ht="15" hidden="1">
      <c r="B23" s="5" t="str">
        <f>'Low Cemetery PC'!B2</f>
        <v>Lowestoft Cemetery Public Convenience</v>
      </c>
      <c r="C23" s="9">
        <f>'Low Cemetery PC'!C12</f>
        <v>6500</v>
      </c>
      <c r="D23" s="9">
        <f>'Low Cemetery PC'!D12</f>
        <v>3417.029609690444</v>
      </c>
      <c r="E23" s="9">
        <f>'Low Cemetery PC'!E12</f>
        <v>2187</v>
      </c>
      <c r="F23" s="9">
        <f>'Low Cemetery PC'!F12</f>
        <v>1130.029609690444</v>
      </c>
      <c r="G23" s="9">
        <f>'Low Cemetery PC'!G12</f>
        <v>2692.970390309556</v>
      </c>
      <c r="H23" s="9">
        <f>'Low Cemetery PC'!H12</f>
        <v>-100</v>
      </c>
      <c r="I23" s="9">
        <f>'Low Cemetery PC'!I12</f>
        <v>412.16689098250333</v>
      </c>
      <c r="J23" s="9">
        <f>'Low Cemetery PC'!J12</f>
        <v>6480</v>
      </c>
      <c r="K23" s="9">
        <f>'Low Cemetery PC'!K12</f>
        <v>6703.4</v>
      </c>
      <c r="L23" s="9">
        <f>'Low Cemetery PC'!L12</f>
        <v>6904.5019999999995</v>
      </c>
      <c r="M23" s="9">
        <f>'Low Cemetery PC'!M12</f>
        <v>7111.637059999999</v>
      </c>
      <c r="N23" s="2"/>
      <c r="O23" s="2"/>
      <c r="P23" s="2"/>
      <c r="Q23" s="2"/>
      <c r="R23" s="2"/>
    </row>
    <row r="24" spans="2:18" ht="15" hidden="1">
      <c r="B24" s="5" t="str">
        <f>'Fen Park PC'!B2</f>
        <v>Fen Park Public Convenience</v>
      </c>
      <c r="C24" s="9">
        <f>'Fen Park PC'!C13</f>
        <v>0</v>
      </c>
      <c r="D24" s="9">
        <f>'Fen Park PC'!D13</f>
        <v>0</v>
      </c>
      <c r="E24" s="9">
        <f>'Fen Park PC'!E13</f>
        <v>0</v>
      </c>
      <c r="F24" s="9">
        <f>'Fen Park PC'!F13</f>
        <v>0</v>
      </c>
      <c r="G24" s="9">
        <f>'Fen Park PC'!G13</f>
        <v>0</v>
      </c>
      <c r="H24" s="9">
        <f>'Fen Park PC'!H13</f>
        <v>0</v>
      </c>
      <c r="I24" s="9">
        <f>'Fen Park PC'!I13</f>
        <v>0</v>
      </c>
      <c r="J24" s="9">
        <f>'Fen Park PC'!J13</f>
        <v>0</v>
      </c>
      <c r="K24" s="9">
        <f>'Fen Park PC'!K13</f>
        <v>7500</v>
      </c>
      <c r="L24" s="9">
        <f>'Fen Park PC'!L13</f>
        <v>7500</v>
      </c>
      <c r="M24" s="9">
        <f>'Fen Park PC'!M13</f>
        <v>7500</v>
      </c>
      <c r="N24" s="2"/>
      <c r="O24" s="2"/>
      <c r="P24" s="2"/>
      <c r="Q24" s="2"/>
      <c r="R24" s="2"/>
    </row>
    <row r="25" spans="2:18" ht="15">
      <c r="B25" s="5" t="str">
        <f>Miscellaneous!B2</f>
        <v>Miscellaneous &amp; Reserve Contributions</v>
      </c>
      <c r="C25" s="9">
        <f>Miscellaneous!C19</f>
        <v>28600</v>
      </c>
      <c r="D25" s="9">
        <f>Miscellaneous!D19</f>
        <v>2999.7308209959624</v>
      </c>
      <c r="E25" s="9">
        <f>Miscellaneous!E19</f>
        <v>1989.771197846568</v>
      </c>
      <c r="F25" s="9">
        <f>Miscellaneous!F19</f>
        <v>1009.9596231493944</v>
      </c>
      <c r="G25" s="9">
        <f>Miscellaneous!G19</f>
        <v>2600.2691790040376</v>
      </c>
      <c r="H25" s="9">
        <f>Miscellaneous!H19</f>
        <v>0</v>
      </c>
      <c r="I25" s="9">
        <f>Miscellaneous!I19</f>
        <v>397.9542395693136</v>
      </c>
      <c r="J25" s="9">
        <f>Miscellaneous!J19</f>
        <v>28600</v>
      </c>
      <c r="K25" s="9">
        <f>Miscellaneous!K19</f>
        <v>31368</v>
      </c>
      <c r="L25" s="9">
        <f>Miscellaneous!L19</f>
        <v>31541.04</v>
      </c>
      <c r="M25" s="9">
        <f>Miscellaneous!M19</f>
        <v>31719.2712</v>
      </c>
      <c r="N25" s="2"/>
      <c r="O25" s="2"/>
      <c r="P25" s="2"/>
      <c r="Q25" s="2"/>
      <c r="R25" s="2"/>
    </row>
    <row r="26" spans="2:18" ht="15">
      <c r="B26" s="5" t="str">
        <f>Offices!B2</f>
        <v>Office Accommodation &amp; Town Hall</v>
      </c>
      <c r="C26" s="9">
        <f>Offices!C23</f>
        <v>86120</v>
      </c>
      <c r="D26" s="9">
        <f>Offices!D23</f>
        <v>16430</v>
      </c>
      <c r="E26" s="9">
        <f>Offices!E23</f>
        <v>2519</v>
      </c>
      <c r="F26" s="9">
        <f>Offices!F23</f>
        <v>2324</v>
      </c>
      <c r="G26" s="9">
        <f>Offices!G23</f>
        <v>0</v>
      </c>
      <c r="H26" s="9">
        <f>Offices!H23</f>
        <v>-11587</v>
      </c>
      <c r="I26" s="9">
        <f>Offices!I23</f>
        <v>0</v>
      </c>
      <c r="J26" s="9">
        <f>Offices!J23</f>
        <v>18330</v>
      </c>
      <c r="K26" s="9">
        <f>Offices!K23</f>
        <v>64775.9</v>
      </c>
      <c r="L26" s="9">
        <f>Offices!L23</f>
        <v>66719.177</v>
      </c>
      <c r="M26" s="9">
        <f>Offices!M23</f>
        <v>68720.75231</v>
      </c>
      <c r="N26" s="2"/>
      <c r="O26" s="2"/>
      <c r="P26" s="2"/>
      <c r="Q26" s="2"/>
      <c r="R26" s="2"/>
    </row>
    <row r="27" spans="2:18" ht="15">
      <c r="B27" s="5" t="str">
        <f>Administration!B2</f>
        <v>Administration</v>
      </c>
      <c r="C27" s="9">
        <f>Administration!C43</f>
        <v>455260</v>
      </c>
      <c r="D27" s="9" t="e">
        <f>Administration!D43</f>
        <v>#REF!</v>
      </c>
      <c r="E27" s="9" t="e">
        <f>Administration!E43</f>
        <v>#REF!</v>
      </c>
      <c r="F27" s="9" t="e">
        <f>Administration!F43</f>
        <v>#REF!</v>
      </c>
      <c r="G27" s="9" t="e">
        <f>Administration!G43</f>
        <v>#REF!</v>
      </c>
      <c r="H27" s="9" t="e">
        <f>Administration!H43</f>
        <v>#REF!</v>
      </c>
      <c r="I27" s="9" t="e">
        <f>Administration!I43</f>
        <v>#REF!</v>
      </c>
      <c r="J27" s="9">
        <f>Administration!J43</f>
        <v>254218.521</v>
      </c>
      <c r="K27" s="9">
        <f>Administration!K43</f>
        <v>485976.331</v>
      </c>
      <c r="L27" s="9">
        <f>Administration!L43</f>
        <v>492391.17562000005</v>
      </c>
      <c r="M27" s="9">
        <f>Administration!M43</f>
        <v>498946.4766724</v>
      </c>
      <c r="N27" s="2"/>
      <c r="O27" s="2"/>
      <c r="P27" s="2"/>
      <c r="Q27" s="2"/>
      <c r="R27" s="2"/>
    </row>
    <row r="28" spans="2:18" ht="15">
      <c r="B28" s="5"/>
      <c r="C28" s="12"/>
      <c r="D28" s="9"/>
      <c r="E28" s="9"/>
      <c r="F28" s="9"/>
      <c r="G28" s="9"/>
      <c r="H28" s="12"/>
      <c r="I28" s="12"/>
      <c r="J28" s="12"/>
      <c r="K28" s="12"/>
      <c r="L28" s="12"/>
      <c r="M28" s="12"/>
      <c r="N28" s="2"/>
      <c r="O28" s="2"/>
      <c r="P28" s="2"/>
      <c r="Q28" s="2"/>
      <c r="R28" s="2"/>
    </row>
    <row r="29" spans="2:18" ht="15">
      <c r="B29" s="5" t="s">
        <v>62</v>
      </c>
      <c r="C29" s="9">
        <f>C5+C6+C7+C8+C9+C10+C18+C25+C26+C27</f>
        <v>1550580</v>
      </c>
      <c r="D29" s="9" t="e">
        <f aca="true" t="shared" si="2" ref="D29:M29">D5+D6+D7+D8+D9+D10+D18+D25+D26+D27</f>
        <v>#REF!</v>
      </c>
      <c r="E29" s="9" t="e">
        <f t="shared" si="2"/>
        <v>#REF!</v>
      </c>
      <c r="F29" s="9" t="e">
        <f t="shared" si="2"/>
        <v>#REF!</v>
      </c>
      <c r="G29" s="9" t="e">
        <f t="shared" si="2"/>
        <v>#REF!</v>
      </c>
      <c r="H29" s="9" t="e">
        <f t="shared" si="2"/>
        <v>#REF!</v>
      </c>
      <c r="I29" s="9" t="e">
        <f t="shared" si="2"/>
        <v>#REF!</v>
      </c>
      <c r="J29" s="9">
        <f t="shared" si="2"/>
        <v>1255022.521</v>
      </c>
      <c r="K29" s="9">
        <f t="shared" si="2"/>
        <v>1772454.3809999998</v>
      </c>
      <c r="L29" s="9">
        <f t="shared" si="2"/>
        <v>1779148.15712</v>
      </c>
      <c r="M29" s="9">
        <f t="shared" si="2"/>
        <v>1811406.8676174</v>
      </c>
      <c r="N29" s="2"/>
      <c r="O29" s="2"/>
      <c r="P29" s="2"/>
      <c r="Q29" s="2"/>
      <c r="R29" s="2"/>
    </row>
    <row r="30" spans="2:13" ht="15">
      <c r="B30" s="4"/>
      <c r="C30" s="4"/>
      <c r="D30" s="34"/>
      <c r="E30" s="4"/>
      <c r="F30" s="4"/>
      <c r="G30" s="4"/>
      <c r="H30" s="4"/>
      <c r="I30" s="4"/>
      <c r="J30" s="4"/>
      <c r="K30" s="4"/>
      <c r="L30" s="4"/>
      <c r="M30" s="4"/>
    </row>
    <row r="31" spans="2:13" ht="15">
      <c r="B31" s="5" t="s">
        <v>130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">
      <c r="B32" s="5" t="s">
        <v>199</v>
      </c>
      <c r="C32" s="29">
        <f>Museum!C13</f>
        <v>0</v>
      </c>
      <c r="D32" s="29">
        <f>Museum!D13</f>
        <v>0</v>
      </c>
      <c r="E32" s="29">
        <f>Museum!E13</f>
        <v>0</v>
      </c>
      <c r="F32" s="29">
        <f>Museum!F13</f>
        <v>0</v>
      </c>
      <c r="G32" s="29">
        <f>Museum!G13</f>
        <v>0</v>
      </c>
      <c r="H32" s="29">
        <f>Museum!H13</f>
        <v>0</v>
      </c>
      <c r="I32" s="29">
        <f>Museum!I13</f>
        <v>0</v>
      </c>
      <c r="J32" s="29">
        <f>Museum!J13</f>
        <v>0</v>
      </c>
      <c r="K32" s="29">
        <f>Museum!K13</f>
        <v>0</v>
      </c>
      <c r="L32" s="29">
        <f>Museum!L13</f>
        <v>0</v>
      </c>
      <c r="M32" s="29">
        <f>Museum!M13</f>
        <v>0</v>
      </c>
    </row>
    <row r="33" spans="2:13" ht="15">
      <c r="B33" s="5" t="s">
        <v>49</v>
      </c>
      <c r="C33" s="29">
        <f>'Caravan Site'!C11</f>
        <v>-80000</v>
      </c>
      <c r="D33" s="29">
        <f>'Caravan Site'!D11</f>
        <v>0</v>
      </c>
      <c r="E33" s="29">
        <f>'Caravan Site'!E11</f>
        <v>0</v>
      </c>
      <c r="F33" s="29">
        <f>'Caravan Site'!F11</f>
        <v>0</v>
      </c>
      <c r="G33" s="29">
        <f>'Caravan Site'!G11</f>
        <v>0</v>
      </c>
      <c r="H33" s="29">
        <f>'Caravan Site'!H11</f>
        <v>0</v>
      </c>
      <c r="I33" s="29">
        <f>'Caravan Site'!I11</f>
        <v>0</v>
      </c>
      <c r="J33" s="29">
        <f>'Caravan Site'!J11</f>
        <v>-80000</v>
      </c>
      <c r="K33" s="29">
        <f>'Caravan Site'!K11</f>
        <v>-80000</v>
      </c>
      <c r="L33" s="29">
        <f>'Caravan Site'!L11</f>
        <v>-80000</v>
      </c>
      <c r="M33" s="29">
        <f>'Caravan Site'!M11</f>
        <v>-80000</v>
      </c>
    </row>
    <row r="34" spans="2:13" ht="15">
      <c r="B34" s="5" t="s">
        <v>26</v>
      </c>
      <c r="C34" s="29">
        <f>CCTV!C15</f>
        <v>0</v>
      </c>
      <c r="D34" s="29">
        <f>CCTV!D15</f>
        <v>0</v>
      </c>
      <c r="E34" s="29">
        <f>CCTV!E15</f>
        <v>0</v>
      </c>
      <c r="F34" s="29">
        <f>CCTV!F15</f>
        <v>0</v>
      </c>
      <c r="G34" s="29">
        <f>CCTV!G15</f>
        <v>0</v>
      </c>
      <c r="H34" s="29">
        <f>CCTV!H15</f>
        <v>0</v>
      </c>
      <c r="I34" s="29">
        <f>CCTV!I15</f>
        <v>0</v>
      </c>
      <c r="J34" s="29">
        <f>CCTV!J15</f>
        <v>0</v>
      </c>
      <c r="K34" s="29">
        <f>CCTV!K15</f>
        <v>0</v>
      </c>
      <c r="L34" s="29">
        <f>CCTV!L15</f>
        <v>0</v>
      </c>
      <c r="M34" s="29">
        <f>CCTV!M15</f>
        <v>0</v>
      </c>
    </row>
    <row r="35" spans="2:13" ht="15">
      <c r="B35" s="5" t="str">
        <f>Events!B2</f>
        <v>Events and Grants</v>
      </c>
      <c r="C35" s="29">
        <f>Events!C15</f>
        <v>-5300</v>
      </c>
      <c r="D35" s="29">
        <f>Events!D15</f>
        <v>0</v>
      </c>
      <c r="E35" s="29">
        <f>Events!E15</f>
        <v>0</v>
      </c>
      <c r="F35" s="29">
        <f>Events!F15</f>
        <v>0</v>
      </c>
      <c r="G35" s="29">
        <f>Events!G15</f>
        <v>0</v>
      </c>
      <c r="H35" s="29">
        <f>Events!H15</f>
        <v>0</v>
      </c>
      <c r="I35" s="29">
        <f>Events!I15</f>
        <v>0</v>
      </c>
      <c r="J35" s="29">
        <f>Events!J15</f>
        <v>-5300</v>
      </c>
      <c r="K35" s="29">
        <f>Events!K15</f>
        <v>-5300</v>
      </c>
      <c r="L35" s="29">
        <f>Events!L15</f>
        <v>-5300</v>
      </c>
      <c r="M35" s="29">
        <f>Events!M15</f>
        <v>-5300</v>
      </c>
    </row>
    <row r="36" spans="2:13" ht="15">
      <c r="B36" s="5" t="s">
        <v>7</v>
      </c>
      <c r="C36" s="29">
        <f>'Marina Theatre'!C18</f>
        <v>0</v>
      </c>
      <c r="D36" s="29">
        <f>'Marina Theatre'!D18</f>
        <v>0</v>
      </c>
      <c r="E36" s="29">
        <f>'Marina Theatre'!E18</f>
        <v>0</v>
      </c>
      <c r="F36" s="29">
        <f>'Marina Theatre'!F18</f>
        <v>0</v>
      </c>
      <c r="G36" s="29">
        <f>'Marina Theatre'!G18</f>
        <v>0</v>
      </c>
      <c r="H36" s="29">
        <f>'Marina Theatre'!H18</f>
        <v>0</v>
      </c>
      <c r="I36" s="29">
        <f>'Marina Theatre'!I18</f>
        <v>0</v>
      </c>
      <c r="J36" s="29">
        <f>'Marina Theatre'!J18</f>
        <v>0</v>
      </c>
      <c r="K36" s="29">
        <f>'Marina Theatre'!K18</f>
        <v>-16667</v>
      </c>
      <c r="L36" s="29">
        <f>'Marina Theatre'!L18</f>
        <v>-20000</v>
      </c>
      <c r="M36" s="29">
        <f>'Marina Theatre'!M18</f>
        <v>-20000</v>
      </c>
    </row>
    <row r="37" spans="2:13" ht="15">
      <c r="B37" s="5" t="s">
        <v>210</v>
      </c>
      <c r="C37" s="9">
        <f>SUM(C38:C44)</f>
        <v>-63200</v>
      </c>
      <c r="D37" s="9">
        <f aca="true" t="shared" si="3" ref="D37:M37">SUM(D38:D44)</f>
        <v>-32220</v>
      </c>
      <c r="E37" s="9">
        <f t="shared" si="3"/>
        <v>-29007</v>
      </c>
      <c r="F37" s="9">
        <f t="shared" si="3"/>
        <v>-6884</v>
      </c>
      <c r="G37" s="9">
        <f t="shared" si="3"/>
        <v>0</v>
      </c>
      <c r="H37" s="9">
        <f t="shared" si="3"/>
        <v>-3671</v>
      </c>
      <c r="I37" s="9">
        <f t="shared" si="3"/>
        <v>0</v>
      </c>
      <c r="J37" s="9">
        <f t="shared" si="3"/>
        <v>-67989.7</v>
      </c>
      <c r="K37" s="9">
        <f t="shared" si="3"/>
        <v>-37389.7</v>
      </c>
      <c r="L37" s="9">
        <f t="shared" si="3"/>
        <v>-37389.7</v>
      </c>
      <c r="M37" s="9">
        <f t="shared" si="3"/>
        <v>-37389.7</v>
      </c>
    </row>
    <row r="38" spans="2:13" ht="15" hidden="1">
      <c r="B38" s="5" t="str">
        <f>'Open Spaces'!B2</f>
        <v>Allotments, Open Spaces, &amp; East of England Park</v>
      </c>
      <c r="C38" s="29">
        <f>'Open Spaces'!C19</f>
        <v>0</v>
      </c>
      <c r="D38" s="29">
        <f>'Open Spaces'!D19</f>
        <v>0</v>
      </c>
      <c r="E38" s="29">
        <f>'Open Spaces'!E19</f>
        <v>0</v>
      </c>
      <c r="F38" s="29">
        <f>'Open Spaces'!F19</f>
        <v>0</v>
      </c>
      <c r="G38" s="29">
        <f>'Open Spaces'!G19</f>
        <v>0</v>
      </c>
      <c r="H38" s="29">
        <f>'Open Spaces'!H19</f>
        <v>0</v>
      </c>
      <c r="I38" s="29">
        <f>'Open Spaces'!I19</f>
        <v>0</v>
      </c>
      <c r="J38" s="29">
        <f>'Open Spaces'!J19</f>
        <v>-524.7</v>
      </c>
      <c r="K38" s="29">
        <f>'Open Spaces'!K19</f>
        <v>-524.7</v>
      </c>
      <c r="L38" s="29">
        <f>'Open Spaces'!L19</f>
        <v>-524.7</v>
      </c>
      <c r="M38" s="29">
        <f>'Open Spaces'!M19</f>
        <v>-524.7</v>
      </c>
    </row>
    <row r="39" spans="2:13" ht="15" hidden="1">
      <c r="B39" s="5" t="s">
        <v>82</v>
      </c>
      <c r="C39" s="29">
        <f>'Sparrows Nest'!C21</f>
        <v>-30800</v>
      </c>
      <c r="D39" s="29">
        <f>'Sparrows Nest'!D21</f>
        <v>-15650</v>
      </c>
      <c r="E39" s="29">
        <f>'Sparrows Nest'!E21</f>
        <v>-14701</v>
      </c>
      <c r="F39" s="29">
        <f>'Sparrows Nest'!F21</f>
        <v>-1299</v>
      </c>
      <c r="G39" s="29">
        <f>'Sparrows Nest'!G21</f>
        <v>0</v>
      </c>
      <c r="H39" s="29">
        <f>'Sparrows Nest'!H21</f>
        <v>-350</v>
      </c>
      <c r="I39" s="29">
        <f>'Sparrows Nest'!I21</f>
        <v>0</v>
      </c>
      <c r="J39" s="29">
        <f>'Sparrows Nest'!J21</f>
        <v>-30800</v>
      </c>
      <c r="K39" s="29">
        <f>'Sparrows Nest'!K21</f>
        <v>-24000</v>
      </c>
      <c r="L39" s="29">
        <f>'Sparrows Nest'!L21</f>
        <v>-24000</v>
      </c>
      <c r="M39" s="29">
        <f>'Sparrows Nest'!M21</f>
        <v>-24000</v>
      </c>
    </row>
    <row r="40" spans="2:13" ht="15" hidden="1">
      <c r="B40" s="5" t="s">
        <v>63</v>
      </c>
      <c r="C40" s="29">
        <f>'Belle Vue'!C15</f>
        <v>-1500</v>
      </c>
      <c r="D40" s="29">
        <f>'Belle Vue'!D15</f>
        <v>-350</v>
      </c>
      <c r="E40" s="29">
        <f>'Belle Vue'!E15</f>
        <v>-1241</v>
      </c>
      <c r="F40" s="29">
        <f>'Belle Vue'!F15</f>
        <v>0</v>
      </c>
      <c r="G40" s="29">
        <f>'Belle Vue'!G15</f>
        <v>0</v>
      </c>
      <c r="H40" s="29">
        <f>'Belle Vue'!H15</f>
        <v>-891</v>
      </c>
      <c r="I40" s="29">
        <f>'Belle Vue'!I15</f>
        <v>0</v>
      </c>
      <c r="J40" s="29">
        <f>'Belle Vue'!J15</f>
        <v>-4270</v>
      </c>
      <c r="K40" s="29">
        <f>'Belle Vue'!K15</f>
        <v>-3470</v>
      </c>
      <c r="L40" s="29">
        <f>'Belle Vue'!L15</f>
        <v>-3470</v>
      </c>
      <c r="M40" s="29">
        <f>'Belle Vue'!M15</f>
        <v>-3470</v>
      </c>
    </row>
    <row r="41" spans="2:13" ht="15" hidden="1">
      <c r="B41" s="5" t="s">
        <v>88</v>
      </c>
      <c r="C41" s="29">
        <f>'Kensington Gdns'!C18</f>
        <v>-11600</v>
      </c>
      <c r="D41" s="29">
        <f>'Kensington Gdns'!D18</f>
        <v>-5845</v>
      </c>
      <c r="E41" s="29">
        <f>'Kensington Gdns'!E18</f>
        <v>-5787</v>
      </c>
      <c r="F41" s="29">
        <f>'Kensington Gdns'!F18</f>
        <v>-3482</v>
      </c>
      <c r="G41" s="29">
        <f>'Kensington Gdns'!G18</f>
        <v>0</v>
      </c>
      <c r="H41" s="29">
        <f>'Kensington Gdns'!H18</f>
        <v>-3424</v>
      </c>
      <c r="I41" s="29">
        <f>'Kensington Gdns'!I18</f>
        <v>0</v>
      </c>
      <c r="J41" s="29">
        <f>'Kensington Gdns'!J18</f>
        <v>-11645</v>
      </c>
      <c r="K41" s="29">
        <f>'Kensington Gdns'!K18</f>
        <v>-3145</v>
      </c>
      <c r="L41" s="29">
        <f>'Kensington Gdns'!L18</f>
        <v>-3145</v>
      </c>
      <c r="M41" s="29">
        <f>'Kensington Gdns'!M18</f>
        <v>-3145</v>
      </c>
    </row>
    <row r="42" spans="2:13" ht="15" hidden="1">
      <c r="B42" s="5" t="s">
        <v>8</v>
      </c>
      <c r="C42" s="29">
        <f>'Play Areas'!C31</f>
        <v>0</v>
      </c>
      <c r="D42" s="29">
        <f>'Play Areas'!D31</f>
        <v>0</v>
      </c>
      <c r="E42" s="29">
        <f>'Play Areas'!E31</f>
        <v>0</v>
      </c>
      <c r="F42" s="29">
        <f>'Play Areas'!F31</f>
        <v>0</v>
      </c>
      <c r="G42" s="29">
        <f>'Play Areas'!G31</f>
        <v>0</v>
      </c>
      <c r="H42" s="29">
        <f>'Play Areas'!H31</f>
        <v>0</v>
      </c>
      <c r="I42" s="29">
        <f>'Play Areas'!I31</f>
        <v>0</v>
      </c>
      <c r="J42" s="29">
        <f>'Play Areas'!J31</f>
        <v>0</v>
      </c>
      <c r="K42" s="29">
        <f>'Play Areas'!K31</f>
        <v>0</v>
      </c>
      <c r="L42" s="29">
        <f>'Play Areas'!L31</f>
        <v>0</v>
      </c>
      <c r="M42" s="29">
        <f>'Play Areas'!M31</f>
        <v>0</v>
      </c>
    </row>
    <row r="43" spans="2:13" ht="15" hidden="1">
      <c r="B43" s="5" t="s">
        <v>9</v>
      </c>
      <c r="C43" s="29">
        <f>'Denes Oval'!C17</f>
        <v>-9900</v>
      </c>
      <c r="D43" s="29">
        <f>'Denes Oval'!D17</f>
        <v>-4950</v>
      </c>
      <c r="E43" s="29">
        <f>'Denes Oval'!E17</f>
        <v>-914</v>
      </c>
      <c r="F43" s="29">
        <f>'Denes Oval'!F17</f>
        <v>-954</v>
      </c>
      <c r="G43" s="29">
        <f>'Denes Oval'!G17</f>
        <v>0</v>
      </c>
      <c r="H43" s="29">
        <f>'Denes Oval'!H17</f>
        <v>3082</v>
      </c>
      <c r="I43" s="29">
        <f>'Denes Oval'!I17</f>
        <v>0</v>
      </c>
      <c r="J43" s="29">
        <f>'Denes Oval'!J17</f>
        <v>-9900</v>
      </c>
      <c r="K43" s="29">
        <f>'Denes Oval'!K17</f>
        <v>0</v>
      </c>
      <c r="L43" s="29">
        <f>'Denes Oval'!L17</f>
        <v>0</v>
      </c>
      <c r="M43" s="29">
        <f>'Denes Oval'!M17</f>
        <v>0</v>
      </c>
    </row>
    <row r="44" spans="2:13" ht="15" hidden="1">
      <c r="B44" s="5" t="s">
        <v>10</v>
      </c>
      <c r="C44" s="29">
        <f>'Normanston Park'!C16</f>
        <v>-9400</v>
      </c>
      <c r="D44" s="29">
        <f>'Normanston Park'!D16</f>
        <v>-5425</v>
      </c>
      <c r="E44" s="29">
        <f>'Normanston Park'!E16</f>
        <v>-6364</v>
      </c>
      <c r="F44" s="29">
        <f>'Normanston Park'!F16</f>
        <v>-1149</v>
      </c>
      <c r="G44" s="29">
        <f>'Normanston Park'!G16</f>
        <v>0</v>
      </c>
      <c r="H44" s="29">
        <f>'Normanston Park'!H16</f>
        <v>-2088</v>
      </c>
      <c r="I44" s="29">
        <f>'Normanston Park'!I16</f>
        <v>0</v>
      </c>
      <c r="J44" s="29">
        <f>'Normanston Park'!J16</f>
        <v>-10850</v>
      </c>
      <c r="K44" s="29">
        <f>'Normanston Park'!K16</f>
        <v>-6250</v>
      </c>
      <c r="L44" s="29">
        <f>'Normanston Park'!L16</f>
        <v>-6250</v>
      </c>
      <c r="M44" s="29">
        <f>'Normanston Park'!M16</f>
        <v>-6250</v>
      </c>
    </row>
    <row r="45" spans="2:13" ht="15">
      <c r="B45" s="5" t="s">
        <v>200</v>
      </c>
      <c r="C45" s="9">
        <f>SUM(C46:C51)</f>
        <v>0</v>
      </c>
      <c r="D45" s="9">
        <f aca="true" t="shared" si="4" ref="D45:M45">SUM(D46:D51)</f>
        <v>0</v>
      </c>
      <c r="E45" s="9">
        <f t="shared" si="4"/>
        <v>0</v>
      </c>
      <c r="F45" s="9">
        <f t="shared" si="4"/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</row>
    <row r="46" spans="2:13" ht="15" hidden="1">
      <c r="B46" s="5" t="s">
        <v>92</v>
      </c>
      <c r="C46" s="29">
        <f>'Pakefield St PC'!C14</f>
        <v>0</v>
      </c>
      <c r="D46" s="29">
        <f>'Pakefield St PC'!D14</f>
        <v>0</v>
      </c>
      <c r="E46" s="29">
        <f>'Pakefield St PC'!E14</f>
        <v>0</v>
      </c>
      <c r="F46" s="29">
        <f>'Pakefield St PC'!F14</f>
        <v>0</v>
      </c>
      <c r="G46" s="29">
        <f>'Pakefield St PC'!G14</f>
        <v>0</v>
      </c>
      <c r="H46" s="29">
        <f>'Pakefield St PC'!H14</f>
        <v>0</v>
      </c>
      <c r="I46" s="29">
        <f>'Pakefield St PC'!I14</f>
        <v>0</v>
      </c>
      <c r="J46" s="29">
        <f>'Pakefield St PC'!J14</f>
        <v>0</v>
      </c>
      <c r="K46" s="29">
        <f>'Pakefield St PC'!K14</f>
        <v>0</v>
      </c>
      <c r="L46" s="29">
        <f>'Pakefield St PC'!L14</f>
        <v>0</v>
      </c>
      <c r="M46" s="29">
        <f>'Pakefield St PC'!M14</f>
        <v>0</v>
      </c>
    </row>
    <row r="47" spans="2:13" ht="15" hidden="1">
      <c r="B47" s="5" t="s">
        <v>93</v>
      </c>
      <c r="C47" s="29">
        <f>'The Triangle PC'!C13</f>
        <v>0</v>
      </c>
      <c r="D47" s="29">
        <f>'The Triangle PC'!D13</f>
        <v>0</v>
      </c>
      <c r="E47" s="29">
        <f>'The Triangle PC'!E13</f>
        <v>0</v>
      </c>
      <c r="F47" s="29">
        <f>'The Triangle PC'!F13</f>
        <v>0</v>
      </c>
      <c r="G47" s="29">
        <f>'The Triangle PC'!G13</f>
        <v>0</v>
      </c>
      <c r="H47" s="29">
        <f>'The Triangle PC'!H13</f>
        <v>0</v>
      </c>
      <c r="I47" s="29">
        <f>'The Triangle PC'!I13</f>
        <v>0</v>
      </c>
      <c r="J47" s="29">
        <f>'The Triangle PC'!J13</f>
        <v>0</v>
      </c>
      <c r="K47" s="29">
        <f>'The Triangle PC'!K13</f>
        <v>0</v>
      </c>
      <c r="L47" s="29">
        <f>'The Triangle PC'!L13</f>
        <v>0</v>
      </c>
      <c r="M47" s="29">
        <f>'The Triangle PC'!M13</f>
        <v>0</v>
      </c>
    </row>
    <row r="48" spans="2:13" ht="15" hidden="1">
      <c r="B48" s="5" t="s">
        <v>94</v>
      </c>
      <c r="C48" s="29">
        <f>'Kn Gdns PC'!C15</f>
        <v>0</v>
      </c>
      <c r="D48" s="29">
        <f>'Kn Gdns PC'!D15</f>
        <v>0</v>
      </c>
      <c r="E48" s="29">
        <f>'Kn Gdns PC'!E15</f>
        <v>0</v>
      </c>
      <c r="F48" s="29">
        <f>'Kn Gdns PC'!F15</f>
        <v>0</v>
      </c>
      <c r="G48" s="29">
        <f>'Kn Gdns PC'!G15</f>
        <v>0</v>
      </c>
      <c r="H48" s="29">
        <f>'Kn Gdns PC'!H15</f>
        <v>0</v>
      </c>
      <c r="I48" s="29">
        <f>'Kn Gdns PC'!I15</f>
        <v>0</v>
      </c>
      <c r="J48" s="29">
        <f>'Kn Gdns PC'!J15</f>
        <v>0</v>
      </c>
      <c r="K48" s="29">
        <f>'Kn Gdns PC'!K15</f>
        <v>0</v>
      </c>
      <c r="L48" s="29">
        <f>'Kn Gdns PC'!L15</f>
        <v>0</v>
      </c>
      <c r="M48" s="29">
        <f>'Kn Gdns PC'!M15</f>
        <v>0</v>
      </c>
    </row>
    <row r="49" spans="2:13" ht="15" hidden="1">
      <c r="B49" s="5" t="s">
        <v>96</v>
      </c>
      <c r="C49" s="29">
        <f>'Kirkley Cliff Rd PC'!C14</f>
        <v>0</v>
      </c>
      <c r="D49" s="29">
        <f>'Kirkley Cliff Rd PC'!D14</f>
        <v>0</v>
      </c>
      <c r="E49" s="29">
        <f>'Kirkley Cliff Rd PC'!E14</f>
        <v>0</v>
      </c>
      <c r="F49" s="29">
        <f>'Kirkley Cliff Rd PC'!F14</f>
        <v>0</v>
      </c>
      <c r="G49" s="29">
        <f>'Kirkley Cliff Rd PC'!G14</f>
        <v>0</v>
      </c>
      <c r="H49" s="29">
        <f>'Kirkley Cliff Rd PC'!H14</f>
        <v>0</v>
      </c>
      <c r="I49" s="29">
        <f>'Kirkley Cliff Rd PC'!I14</f>
        <v>0</v>
      </c>
      <c r="J49" s="29">
        <f>'Kirkley Cliff Rd PC'!J14</f>
        <v>0</v>
      </c>
      <c r="K49" s="29">
        <f>'Kirkley Cliff Rd PC'!K14</f>
        <v>0</v>
      </c>
      <c r="L49" s="29">
        <f>'Kirkley Cliff Rd PC'!L14</f>
        <v>0</v>
      </c>
      <c r="M49" s="29">
        <f>'Kirkley Cliff Rd PC'!M14</f>
        <v>0</v>
      </c>
    </row>
    <row r="50" spans="2:13" ht="15" hidden="1">
      <c r="B50" s="5" t="s">
        <v>95</v>
      </c>
      <c r="C50" s="29">
        <f>'Low Cemetery PC'!C14</f>
        <v>0</v>
      </c>
      <c r="D50" s="29">
        <f>'Low Cemetery PC'!D14</f>
        <v>0</v>
      </c>
      <c r="E50" s="29">
        <f>'Low Cemetery PC'!E14</f>
        <v>0</v>
      </c>
      <c r="F50" s="29">
        <f>'Low Cemetery PC'!F14</f>
        <v>0</v>
      </c>
      <c r="G50" s="29">
        <f>'Low Cemetery PC'!G14</f>
        <v>0</v>
      </c>
      <c r="H50" s="29">
        <f>'Low Cemetery PC'!H14</f>
        <v>0</v>
      </c>
      <c r="I50" s="29">
        <f>'Low Cemetery PC'!I14</f>
        <v>0</v>
      </c>
      <c r="J50" s="29">
        <f>'Low Cemetery PC'!J14</f>
        <v>0</v>
      </c>
      <c r="K50" s="29">
        <f>'Low Cemetery PC'!K14</f>
        <v>0</v>
      </c>
      <c r="L50" s="29">
        <f>'Low Cemetery PC'!L14</f>
        <v>0</v>
      </c>
      <c r="M50" s="29">
        <f>'Low Cemetery PC'!M14</f>
        <v>0</v>
      </c>
    </row>
    <row r="51" spans="2:13" ht="15" hidden="1">
      <c r="B51" s="5" t="str">
        <f>'Fen Park PC'!B2</f>
        <v>Fen Park Public Convenience</v>
      </c>
      <c r="C51" s="29">
        <f>'Fen Park PC'!C15</f>
        <v>0</v>
      </c>
      <c r="D51" s="29">
        <f>'Fen Park PC'!D15</f>
        <v>0</v>
      </c>
      <c r="E51" s="29">
        <f>'Fen Park PC'!E15</f>
        <v>0</v>
      </c>
      <c r="F51" s="29">
        <f>'Fen Park PC'!F15</f>
        <v>0</v>
      </c>
      <c r="G51" s="29">
        <f>'Fen Park PC'!G15</f>
        <v>0</v>
      </c>
      <c r="H51" s="29">
        <f>'Fen Park PC'!H15</f>
        <v>0</v>
      </c>
      <c r="I51" s="29">
        <f>'Fen Park PC'!I15</f>
        <v>0</v>
      </c>
      <c r="J51" s="29">
        <f>'Fen Park PC'!J15</f>
        <v>0</v>
      </c>
      <c r="K51" s="29">
        <f>'Fen Park PC'!K15</f>
        <v>0</v>
      </c>
      <c r="L51" s="29">
        <f>'Fen Park PC'!L15</f>
        <v>0</v>
      </c>
      <c r="M51" s="29">
        <f>'Fen Park PC'!M15</f>
        <v>0</v>
      </c>
    </row>
    <row r="52" spans="2:13" ht="15">
      <c r="B52" s="5" t="str">
        <f>Miscellaneous!B2</f>
        <v>Miscellaneous &amp; Reserve Contributions</v>
      </c>
      <c r="C52" s="29">
        <f>Miscellaneous!C24</f>
        <v>-9800</v>
      </c>
      <c r="D52" s="29">
        <f>Miscellaneous!D24</f>
        <v>-1250</v>
      </c>
      <c r="E52" s="29">
        <f>Miscellaneous!E24</f>
        <v>-1300</v>
      </c>
      <c r="F52" s="29">
        <f>Miscellaneous!F24</f>
        <v>0</v>
      </c>
      <c r="G52" s="29">
        <f>Miscellaneous!G24</f>
        <v>0</v>
      </c>
      <c r="H52" s="29">
        <f>Miscellaneous!H24</f>
        <v>-50</v>
      </c>
      <c r="I52" s="29">
        <f>Miscellaneous!I24</f>
        <v>0</v>
      </c>
      <c r="J52" s="29">
        <f>Miscellaneous!J24</f>
        <v>-7350</v>
      </c>
      <c r="K52" s="29">
        <f>Miscellaneous!K24</f>
        <v>-7350</v>
      </c>
      <c r="L52" s="29">
        <f>Miscellaneous!L24</f>
        <v>-7350</v>
      </c>
      <c r="M52" s="29">
        <f>Miscellaneous!M24</f>
        <v>-7350</v>
      </c>
    </row>
    <row r="53" spans="2:13" ht="15">
      <c r="B53" s="5" t="str">
        <f>Offices!B2</f>
        <v>Office Accommodation &amp; Town Hall</v>
      </c>
      <c r="C53" s="29">
        <f>Offices!C27</f>
        <v>0</v>
      </c>
      <c r="D53" s="29">
        <f>Offices!D27</f>
        <v>0</v>
      </c>
      <c r="E53" s="29">
        <f>Offices!E27</f>
        <v>0</v>
      </c>
      <c r="F53" s="29">
        <f>Offices!F27</f>
        <v>0</v>
      </c>
      <c r="G53" s="29">
        <f>Offices!G27</f>
        <v>0</v>
      </c>
      <c r="H53" s="29">
        <f>Offices!H27</f>
        <v>0</v>
      </c>
      <c r="I53" s="29">
        <f>Offices!I27</f>
        <v>0</v>
      </c>
      <c r="J53" s="29">
        <f>Offices!J27</f>
        <v>0</v>
      </c>
      <c r="K53" s="29">
        <f>Offices!K27</f>
        <v>-1900</v>
      </c>
      <c r="L53" s="29">
        <f>Offices!L27</f>
        <v>-2287</v>
      </c>
      <c r="M53" s="29">
        <f>Offices!M27</f>
        <v>-2685</v>
      </c>
    </row>
    <row r="54" spans="2:13" ht="15">
      <c r="B54" s="5" t="s">
        <v>11</v>
      </c>
      <c r="C54" s="29">
        <f>Administration!C45</f>
        <v>0</v>
      </c>
      <c r="D54" s="29">
        <f>Administration!D45</f>
        <v>0</v>
      </c>
      <c r="E54" s="29">
        <f>Administration!E45</f>
        <v>0</v>
      </c>
      <c r="F54" s="29">
        <f>Administration!F45</f>
        <v>0</v>
      </c>
      <c r="G54" s="29">
        <f>Administration!G45</f>
        <v>0</v>
      </c>
      <c r="H54" s="29">
        <f>Administration!H45</f>
        <v>0</v>
      </c>
      <c r="I54" s="29">
        <f>Administration!I45</f>
        <v>0</v>
      </c>
      <c r="J54" s="29">
        <f>Administration!J45</f>
        <v>0</v>
      </c>
      <c r="K54" s="29">
        <f>Administration!K45</f>
        <v>-15000</v>
      </c>
      <c r="L54" s="29">
        <f>Administration!L45</f>
        <v>0</v>
      </c>
      <c r="M54" s="29">
        <f>Administration!M45</f>
        <v>0</v>
      </c>
    </row>
    <row r="55" spans="2:13" ht="15">
      <c r="B55" s="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t="15">
      <c r="B56" s="5" t="s">
        <v>0</v>
      </c>
      <c r="C56" s="9">
        <f>C32+C33+C34+C35+C36+C37+C45+C52+C53+C54</f>
        <v>-158300</v>
      </c>
      <c r="D56" s="9">
        <f aca="true" t="shared" si="5" ref="D56:M56">D32+D33+D34+D35+D36+D37+D45+D52+D53+D54</f>
        <v>-33470</v>
      </c>
      <c r="E56" s="9">
        <f t="shared" si="5"/>
        <v>-30307</v>
      </c>
      <c r="F56" s="9">
        <f t="shared" si="5"/>
        <v>-6884</v>
      </c>
      <c r="G56" s="9">
        <f t="shared" si="5"/>
        <v>0</v>
      </c>
      <c r="H56" s="9">
        <f t="shared" si="5"/>
        <v>-3721</v>
      </c>
      <c r="I56" s="9">
        <f t="shared" si="5"/>
        <v>0</v>
      </c>
      <c r="J56" s="9">
        <f t="shared" si="5"/>
        <v>-160639.7</v>
      </c>
      <c r="K56" s="9">
        <f t="shared" si="5"/>
        <v>-163606.7</v>
      </c>
      <c r="L56" s="9">
        <f t="shared" si="5"/>
        <v>-152326.7</v>
      </c>
      <c r="M56" s="9">
        <f t="shared" si="5"/>
        <v>-152724.7</v>
      </c>
    </row>
    <row r="57" spans="2:13" ht="15">
      <c r="B57" s="4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2:13" ht="15">
      <c r="B58" s="5" t="s">
        <v>65</v>
      </c>
      <c r="C58" s="29">
        <f>C29+C56</f>
        <v>1392280</v>
      </c>
      <c r="D58" s="29" t="e">
        <f aca="true" t="shared" si="6" ref="D58:M58">D29+D56</f>
        <v>#REF!</v>
      </c>
      <c r="E58" s="29" t="e">
        <f t="shared" si="6"/>
        <v>#REF!</v>
      </c>
      <c r="F58" s="29" t="e">
        <f t="shared" si="6"/>
        <v>#REF!</v>
      </c>
      <c r="G58" s="29" t="e">
        <f t="shared" si="6"/>
        <v>#REF!</v>
      </c>
      <c r="H58" s="29" t="e">
        <f t="shared" si="6"/>
        <v>#REF!</v>
      </c>
      <c r="I58" s="29" t="e">
        <f t="shared" si="6"/>
        <v>#REF!</v>
      </c>
      <c r="J58" s="29">
        <f t="shared" si="6"/>
        <v>1094382.821</v>
      </c>
      <c r="K58" s="29">
        <f t="shared" si="6"/>
        <v>1608847.6809999999</v>
      </c>
      <c r="L58" s="29">
        <f t="shared" si="6"/>
        <v>1626821.4571200002</v>
      </c>
      <c r="M58" s="29">
        <f t="shared" si="6"/>
        <v>1658682.1676174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4"/>
  <sheetViews>
    <sheetView zoomScalePageLayoutView="0" workbookViewId="0" topLeftCell="A1">
      <selection activeCell="B49" sqref="B4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1.5">
      <c r="B2" s="18" t="s">
        <v>131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 t="s">
        <v>129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5" t="str">
        <f>Museum!B2</f>
        <v>Arts, Heritage, &amp; Museums </v>
      </c>
      <c r="C5" s="9">
        <f>Museum!C11</f>
        <v>1500</v>
      </c>
      <c r="D5" s="9">
        <f>Museum!D11</f>
        <v>106</v>
      </c>
      <c r="E5" s="9">
        <f>Museum!E11</f>
        <v>181</v>
      </c>
      <c r="F5" s="9">
        <f>Museum!F11</f>
        <v>0</v>
      </c>
      <c r="G5" s="9">
        <f>Museum!G11</f>
        <v>0</v>
      </c>
      <c r="H5" s="9">
        <f>Museum!H11</f>
        <v>75</v>
      </c>
      <c r="I5" s="9">
        <f>Museum!I11</f>
        <v>0</v>
      </c>
      <c r="J5" s="9">
        <f>Museum!J11</f>
        <v>3950</v>
      </c>
      <c r="K5" s="9">
        <f>Museum!K11</f>
        <v>29996.5</v>
      </c>
      <c r="L5" s="9">
        <f>Museum!L11</f>
        <v>2044.395</v>
      </c>
      <c r="M5" s="9">
        <f>Museum!M11</f>
        <v>2093.72685</v>
      </c>
      <c r="N5" s="2"/>
      <c r="O5" s="2"/>
      <c r="P5" s="2"/>
      <c r="Q5" s="2"/>
      <c r="R5" s="2"/>
    </row>
    <row r="6" spans="2:18" ht="15">
      <c r="B6" s="5" t="str">
        <f>'Caravan Site'!B2</f>
        <v>Camping &amp; Caravan Site - Tingdene</v>
      </c>
      <c r="C6" s="9">
        <f>'Caravan Site'!C8</f>
        <v>1300</v>
      </c>
      <c r="D6" s="9">
        <f>'Caravan Site'!D8</f>
        <v>0</v>
      </c>
      <c r="E6" s="9">
        <f>'Caravan Site'!E8</f>
        <v>0</v>
      </c>
      <c r="F6" s="9">
        <f>'Caravan Site'!F8</f>
        <v>0</v>
      </c>
      <c r="G6" s="9">
        <f>'Caravan Site'!G8</f>
        <v>0</v>
      </c>
      <c r="H6" s="9">
        <f>'Caravan Site'!H8</f>
        <v>0</v>
      </c>
      <c r="I6" s="9">
        <f>'Caravan Site'!I8</f>
        <v>0</v>
      </c>
      <c r="J6" s="9">
        <f>'Caravan Site'!J8</f>
        <v>1300</v>
      </c>
      <c r="K6" s="9">
        <f>'Caravan Site'!K8</f>
        <v>1300</v>
      </c>
      <c r="L6" s="9">
        <f>'Caravan Site'!L8</f>
        <v>1300</v>
      </c>
      <c r="M6" s="9">
        <f>'Caravan Site'!M8</f>
        <v>1300</v>
      </c>
      <c r="N6" s="2"/>
      <c r="O6" s="2"/>
      <c r="P6" s="2"/>
      <c r="Q6" s="2"/>
      <c r="R6" s="2"/>
    </row>
    <row r="7" spans="2:18" ht="15">
      <c r="B7" s="5" t="str">
        <f>CCTV!B2</f>
        <v>CCTV</v>
      </c>
      <c r="C7" s="9">
        <f>CCTV!C13</f>
        <v>292400</v>
      </c>
      <c r="D7" s="9">
        <f>CCTV!D13</f>
        <v>138405.84791386273</v>
      </c>
      <c r="E7" s="9">
        <f>CCTV!E13</f>
        <v>90386</v>
      </c>
      <c r="F7" s="9">
        <f>CCTV!F13</f>
        <v>45910.847913862715</v>
      </c>
      <c r="G7" s="9">
        <f>CCTV!G13</f>
        <v>117894.15208613727</v>
      </c>
      <c r="H7" s="9">
        <f>CCTV!H13</f>
        <v>-2109</v>
      </c>
      <c r="I7" s="9">
        <f>CCTV!I13</f>
        <v>18042.960969044412</v>
      </c>
      <c r="J7" s="9">
        <f>CCTV!J13</f>
        <v>255245</v>
      </c>
      <c r="K7" s="9">
        <f>CCTV!K13</f>
        <v>264171.85</v>
      </c>
      <c r="L7" s="9">
        <f>CCTV!L13</f>
        <v>272097.0055</v>
      </c>
      <c r="M7" s="9">
        <f>CCTV!M13</f>
        <v>280259.91566500004</v>
      </c>
      <c r="N7" s="2"/>
      <c r="O7" s="2"/>
      <c r="P7" s="2"/>
      <c r="Q7" s="2"/>
      <c r="R7" s="2"/>
    </row>
    <row r="8" spans="2:18" ht="15">
      <c r="B8" s="5" t="str">
        <f>Events!B2</f>
        <v>Events and Grants</v>
      </c>
      <c r="C8" s="9">
        <f>Events!C12</f>
        <v>2900</v>
      </c>
      <c r="D8" s="9">
        <f>Events!D12</f>
        <v>120</v>
      </c>
      <c r="E8" s="9">
        <f>Events!E12</f>
        <v>120</v>
      </c>
      <c r="F8" s="9">
        <f>Events!F12</f>
        <v>0</v>
      </c>
      <c r="G8" s="9">
        <f>Events!G12</f>
        <v>0</v>
      </c>
      <c r="H8" s="9">
        <f>Events!H12</f>
        <v>0</v>
      </c>
      <c r="I8" s="9">
        <f>Events!I12</f>
        <v>0</v>
      </c>
      <c r="J8" s="9">
        <f>Events!J12</f>
        <v>2900</v>
      </c>
      <c r="K8" s="9">
        <f>Events!K12</f>
        <v>52933</v>
      </c>
      <c r="L8" s="9">
        <f>Events!L12</f>
        <v>52966.99</v>
      </c>
      <c r="M8" s="9">
        <f>Events!M12</f>
        <v>53001.9997</v>
      </c>
      <c r="N8" s="2"/>
      <c r="O8" s="2"/>
      <c r="P8" s="2"/>
      <c r="Q8" s="2"/>
      <c r="R8" s="2"/>
    </row>
    <row r="9" spans="2:18" ht="15">
      <c r="B9" s="5" t="str">
        <f>'Marina Theatre'!B2</f>
        <v>Marina Theatre</v>
      </c>
      <c r="C9" s="9">
        <f>'Marina Theatre'!C15</f>
        <v>159100</v>
      </c>
      <c r="D9" s="9">
        <f>'Marina Theatre'!D15</f>
        <v>154207</v>
      </c>
      <c r="E9" s="9">
        <f>'Marina Theatre'!E15</f>
        <v>207</v>
      </c>
      <c r="F9" s="9">
        <f>'Marina Theatre'!F15</f>
        <v>150000</v>
      </c>
      <c r="G9" s="9">
        <f>'Marina Theatre'!G15</f>
        <v>0</v>
      </c>
      <c r="H9" s="9">
        <f>'Marina Theatre'!H15</f>
        <v>-4000</v>
      </c>
      <c r="I9" s="9">
        <f>'Marina Theatre'!I15</f>
        <v>0</v>
      </c>
      <c r="J9" s="9">
        <f>'Marina Theatre'!J15</f>
        <v>170100</v>
      </c>
      <c r="K9" s="9">
        <f>'Marina Theatre'!K15</f>
        <v>176667</v>
      </c>
      <c r="L9" s="9">
        <f>'Marina Theatre'!L15</f>
        <v>180000</v>
      </c>
      <c r="M9" s="9">
        <f>'Marina Theatre'!M15</f>
        <v>180000</v>
      </c>
      <c r="N9" s="2"/>
      <c r="O9" s="2"/>
      <c r="P9" s="2"/>
      <c r="Q9" s="2"/>
      <c r="R9" s="2"/>
    </row>
    <row r="10" spans="2:18" ht="15">
      <c r="B10" s="5" t="str">
        <f>'Open Spaces'!B2</f>
        <v>Allotments, Open Spaces, &amp; East of England Park</v>
      </c>
      <c r="C10" s="9">
        <f>'Open Spaces'!C16</f>
        <v>7200</v>
      </c>
      <c r="D10" s="9">
        <f>'Open Spaces'!D16</f>
        <v>4274.697173620458</v>
      </c>
      <c r="E10" s="9">
        <f>'Open Spaces'!E16</f>
        <v>3138.4925975773895</v>
      </c>
      <c r="F10" s="9">
        <f>'Open Spaces'!F16</f>
        <v>1136.2045760430685</v>
      </c>
      <c r="G10" s="9">
        <f>'Open Spaces'!G16</f>
        <v>2925.3028263795422</v>
      </c>
      <c r="H10" s="9">
        <f>'Open Spaces'!H16</f>
        <v>0</v>
      </c>
      <c r="I10" s="9">
        <f>'Open Spaces'!I16</f>
        <v>447.69851951547776</v>
      </c>
      <c r="J10" s="9">
        <f>'Open Spaces'!J16</f>
        <v>7200</v>
      </c>
      <c r="K10" s="9">
        <f>'Open Spaces'!K16</f>
        <v>82420.5</v>
      </c>
      <c r="L10" s="9">
        <f>'Open Spaces'!L16</f>
        <v>82616.11500000002</v>
      </c>
      <c r="M10" s="9">
        <f>'Open Spaces'!M16</f>
        <v>82817.59845</v>
      </c>
      <c r="N10" s="2"/>
      <c r="O10" s="2"/>
      <c r="P10" s="2"/>
      <c r="Q10" s="2"/>
      <c r="R10" s="2"/>
    </row>
    <row r="11" spans="2:18" ht="15">
      <c r="B11" s="5" t="str">
        <f>'Sparrows Nest'!B2</f>
        <v>Sparrows Nest Park &amp; Sports Ground</v>
      </c>
      <c r="C11" s="9">
        <f>'Sparrows Nest'!C17</f>
        <v>131500</v>
      </c>
      <c r="D11" s="9">
        <f>'Sparrows Nest'!D17</f>
        <v>50253.562584118445</v>
      </c>
      <c r="E11" s="9">
        <f>'Sparrows Nest'!E17</f>
        <v>45503.802153432036</v>
      </c>
      <c r="F11" s="9">
        <f>'Sparrows Nest'!F17</f>
        <v>22969.37685060565</v>
      </c>
      <c r="G11" s="9">
        <f>'Sparrows Nest'!G17</f>
        <v>18530.820995962316</v>
      </c>
      <c r="H11" s="9">
        <f>'Sparrows Nest'!H17</f>
        <v>18219.616419919243</v>
      </c>
      <c r="I11" s="9">
        <f>'Sparrows Nest'!I17</f>
        <v>8605.760430686407</v>
      </c>
      <c r="J11" s="9">
        <f>'Sparrows Nest'!J17</f>
        <v>129745</v>
      </c>
      <c r="K11" s="9">
        <f>'Sparrows Nest'!K17</f>
        <v>132947.6</v>
      </c>
      <c r="L11" s="9">
        <f>'Sparrows Nest'!L17</f>
        <v>135802.628</v>
      </c>
      <c r="M11" s="9">
        <f>'Sparrows Nest'!M17</f>
        <v>138752.40684</v>
      </c>
      <c r="N11" s="2"/>
      <c r="O11" s="2"/>
      <c r="P11" s="2"/>
      <c r="Q11" s="2"/>
      <c r="R11" s="2"/>
    </row>
    <row r="12" spans="2:18" ht="15">
      <c r="B12" s="5" t="str">
        <f>'Belle Vue'!B2</f>
        <v>Belle Vue Park </v>
      </c>
      <c r="C12" s="9">
        <f>'Belle Vue'!C11</f>
        <v>16100</v>
      </c>
      <c r="D12" s="9">
        <f>'Belle Vue'!D11</f>
        <v>8570.598923283984</v>
      </c>
      <c r="E12" s="9">
        <f>'Belle Vue'!E11</f>
        <v>5685</v>
      </c>
      <c r="F12" s="9">
        <f>'Belle Vue'!F11</f>
        <v>2885.598923283984</v>
      </c>
      <c r="G12" s="9">
        <f>'Belle Vue'!G11</f>
        <v>7429.401076716016</v>
      </c>
      <c r="H12" s="9">
        <f>'Belle Vue'!H11</f>
        <v>0</v>
      </c>
      <c r="I12" s="9">
        <f>'Belle Vue'!I11</f>
        <v>1137.0121130551818</v>
      </c>
      <c r="J12" s="9">
        <f>'Belle Vue'!J11</f>
        <v>16100</v>
      </c>
      <c r="K12" s="9">
        <f>'Belle Vue'!K11</f>
        <v>16663</v>
      </c>
      <c r="L12" s="9">
        <f>'Belle Vue'!L11</f>
        <v>17162.89</v>
      </c>
      <c r="M12" s="9">
        <f>'Belle Vue'!M11</f>
        <v>17677.776700000002</v>
      </c>
      <c r="N12" s="2"/>
      <c r="O12" s="2"/>
      <c r="P12" s="2"/>
      <c r="Q12" s="2"/>
      <c r="R12" s="2"/>
    </row>
    <row r="13" spans="2:18" ht="15">
      <c r="B13" s="5" t="str">
        <f>'Kensington Gdns'!B2</f>
        <v>Kensington Gardens Park, Lake, &amp; Sports Ground </v>
      </c>
      <c r="C13" s="9">
        <f>'Kensington Gdns'!C14</f>
        <v>94900</v>
      </c>
      <c r="D13" s="9">
        <f>'Kensington Gdns'!D14</f>
        <v>49273.10901749664</v>
      </c>
      <c r="E13" s="9">
        <f>'Kensington Gdns'!E14</f>
        <v>32024</v>
      </c>
      <c r="F13" s="9">
        <f>'Kensington Gdns'!F14</f>
        <v>17254.109017496638</v>
      </c>
      <c r="G13" s="9">
        <f>'Kensington Gdns'!G14</f>
        <v>41278.89098250336</v>
      </c>
      <c r="H13" s="9">
        <f>'Kensington Gdns'!H14</f>
        <v>5</v>
      </c>
      <c r="I13" s="9">
        <f>'Kensington Gdns'!I14</f>
        <v>6317.523553162853</v>
      </c>
      <c r="J13" s="9">
        <f>'Kensington Gdns'!J14</f>
        <v>94905</v>
      </c>
      <c r="K13" s="9">
        <f>'Kensington Gdns'!K14</f>
        <v>98196.65</v>
      </c>
      <c r="L13" s="9">
        <f>'Kensington Gdns'!L14</f>
        <v>101142.5495</v>
      </c>
      <c r="M13" s="9">
        <f>'Kensington Gdns'!M14</f>
        <v>104176.825985</v>
      </c>
      <c r="N13" s="2"/>
      <c r="O13" s="2"/>
      <c r="P13" s="2"/>
      <c r="Q13" s="2"/>
      <c r="R13" s="2"/>
    </row>
    <row r="14" spans="2:18" ht="15">
      <c r="B14" s="5" t="str">
        <f>'Play Areas'!B2</f>
        <v>Play Areas</v>
      </c>
      <c r="C14" s="9">
        <f>'Play Areas'!C29</f>
        <v>39300</v>
      </c>
      <c r="D14" s="9">
        <f>'Play Areas'!D29</f>
        <v>18505.518169582767</v>
      </c>
      <c r="E14" s="9">
        <f>'Play Areas'!E29</f>
        <v>12009.690444145352</v>
      </c>
      <c r="F14" s="9">
        <f>'Play Areas'!F29</f>
        <v>6095.827725437418</v>
      </c>
      <c r="G14" s="9">
        <f>'Play Areas'!G29</f>
        <v>0</v>
      </c>
      <c r="H14" s="9">
        <f>'Play Areas'!H29</f>
        <v>-400</v>
      </c>
      <c r="I14" s="9">
        <f>'Play Areas'!I29</f>
        <v>0</v>
      </c>
      <c r="J14" s="9">
        <f>'Play Areas'!J29</f>
        <v>38000</v>
      </c>
      <c r="K14" s="9">
        <f>'Play Areas'!K29</f>
        <v>89309</v>
      </c>
      <c r="L14" s="9">
        <f>'Play Areas'!L29</f>
        <v>90488.27</v>
      </c>
      <c r="M14" s="9">
        <f>'Play Areas'!M29</f>
        <v>91702.91810000001</v>
      </c>
      <c r="N14" s="2"/>
      <c r="O14" s="2"/>
      <c r="P14" s="2"/>
      <c r="Q14" s="2"/>
      <c r="R14" s="2"/>
    </row>
    <row r="15" spans="2:18" ht="15">
      <c r="B15" s="5" t="str">
        <f>'Denes Oval'!B2</f>
        <v>Denes Oval</v>
      </c>
      <c r="C15" s="9">
        <f>'Denes Oval'!C14</f>
        <v>85900</v>
      </c>
      <c r="D15" s="9">
        <f>'Denes Oval'!D14</f>
        <v>45807.009421265146</v>
      </c>
      <c r="E15" s="9">
        <f>'Denes Oval'!E14</f>
        <v>30633</v>
      </c>
      <c r="F15" s="9">
        <f>'Denes Oval'!F14</f>
        <v>15234.009421265142</v>
      </c>
      <c r="G15" s="9">
        <f>'Denes Oval'!G14</f>
        <v>38492.990578734854</v>
      </c>
      <c r="H15" s="9">
        <f>'Denes Oval'!H14</f>
        <v>60</v>
      </c>
      <c r="I15" s="9">
        <f>'Denes Oval'!I14</f>
        <v>5891.144010767159</v>
      </c>
      <c r="J15" s="9">
        <f>'Denes Oval'!J14</f>
        <v>85995</v>
      </c>
      <c r="K15" s="9">
        <f>'Denes Oval'!K14</f>
        <v>88989.35</v>
      </c>
      <c r="L15" s="9">
        <f>'Denes Oval'!L14</f>
        <v>91659.0305</v>
      </c>
      <c r="M15" s="9">
        <f>'Denes Oval'!M14</f>
        <v>94408.80141500001</v>
      </c>
      <c r="N15" s="2"/>
      <c r="O15" s="2"/>
      <c r="P15" s="2"/>
      <c r="Q15" s="2"/>
      <c r="R15" s="2"/>
    </row>
    <row r="16" spans="2:18" ht="15">
      <c r="B16" s="5" t="str">
        <f>'Normanston Park'!B2</f>
        <v>Normanston Park</v>
      </c>
      <c r="C16" s="9">
        <f>'Normanston Park'!C12</f>
        <v>96700</v>
      </c>
      <c r="D16" s="9">
        <f>'Normanston Park'!D12</f>
        <v>51035.948855989234</v>
      </c>
      <c r="E16" s="9">
        <f>'Normanston Park'!E12</f>
        <v>32890</v>
      </c>
      <c r="F16" s="9">
        <f>'Normanston Park'!F12</f>
        <v>16658.948855989234</v>
      </c>
      <c r="G16" s="9">
        <f>'Normanston Park'!G12</f>
        <v>42394.051144010766</v>
      </c>
      <c r="H16" s="9">
        <f>'Normanston Park'!H12</f>
        <v>-1487</v>
      </c>
      <c r="I16" s="9">
        <f>'Normanston Park'!I12</f>
        <v>6488.075370121131</v>
      </c>
      <c r="J16" s="9">
        <f>'Normanston Park'!J12</f>
        <v>96200</v>
      </c>
      <c r="K16" s="9">
        <f>'Normanston Park'!K12</f>
        <v>99542.49999999999</v>
      </c>
      <c r="L16" s="9">
        <f>'Normanston Park'!L12</f>
        <v>102528.775</v>
      </c>
      <c r="M16" s="9">
        <f>'Normanston Park'!M12</f>
        <v>105604.63824999999</v>
      </c>
      <c r="N16" s="2"/>
      <c r="O16" s="2"/>
      <c r="P16" s="2"/>
      <c r="Q16" s="2"/>
      <c r="R16" s="2"/>
    </row>
    <row r="17" spans="2:18" ht="15">
      <c r="B17" s="17" t="str">
        <f>'Pakefield St PC'!B2</f>
        <v>Pakefield Street Public Convenience</v>
      </c>
      <c r="C17" s="9">
        <f>'Pakefield St PC'!C12</f>
        <v>7800</v>
      </c>
      <c r="D17" s="9">
        <f>'Pakefield St PC'!D12</f>
        <v>4507.029609690444</v>
      </c>
      <c r="E17" s="9">
        <f>'Pakefield St PC'!E12</f>
        <v>3464</v>
      </c>
      <c r="F17" s="9">
        <f>'Pakefield St PC'!F12</f>
        <v>1207.029609690444</v>
      </c>
      <c r="G17" s="9">
        <f>'Pakefield St PC'!G12</f>
        <v>2692.970390309556</v>
      </c>
      <c r="H17" s="9">
        <f>'Pakefield St PC'!H12</f>
        <v>164</v>
      </c>
      <c r="I17" s="9">
        <f>'Pakefield St PC'!I12</f>
        <v>412.16689098250333</v>
      </c>
      <c r="J17" s="9">
        <f>'Pakefield St PC'!J12</f>
        <v>7942</v>
      </c>
      <c r="K17" s="9">
        <f>'Pakefield St PC'!K12</f>
        <v>7032.999999999999</v>
      </c>
      <c r="L17" s="9">
        <f>'Pakefield St PC'!L12</f>
        <v>7243.99</v>
      </c>
      <c r="M17" s="9">
        <f>'Pakefield St PC'!M12</f>
        <v>7461.309699999999</v>
      </c>
      <c r="N17" s="9">
        <f>'Pakefield St PC'!N12</f>
        <v>0</v>
      </c>
      <c r="O17" s="9">
        <f>'Pakefield St PC'!O12</f>
        <v>0</v>
      </c>
      <c r="P17" s="9">
        <f>'Pakefield St PC'!P12</f>
        <v>0</v>
      </c>
      <c r="Q17" s="2"/>
      <c r="R17" s="2"/>
    </row>
    <row r="18" spans="2:18" ht="15">
      <c r="B18" s="5" t="str">
        <f>'The Triangle PC'!B2</f>
        <v>The Triangle Public Convenience</v>
      </c>
      <c r="C18" s="9">
        <f>'The Triangle PC'!C11</f>
        <v>9500</v>
      </c>
      <c r="D18" s="9">
        <f>'The Triangle PC'!D11</f>
        <v>5235.309555854643</v>
      </c>
      <c r="E18" s="9">
        <f>'The Triangle PC'!E11</f>
        <v>3440</v>
      </c>
      <c r="F18" s="9">
        <f>'The Triangle PC'!F11</f>
        <v>1190.3095558546433</v>
      </c>
      <c r="G18" s="9">
        <f>'The Triangle PC'!G11</f>
        <v>3064.690444145357</v>
      </c>
      <c r="H18" s="9">
        <f>'The Triangle PC'!H11</f>
        <v>-605</v>
      </c>
      <c r="I18" s="9">
        <f>'The Triangle PC'!I11</f>
        <v>469.0174966352624</v>
      </c>
      <c r="J18" s="9">
        <f>'The Triangle PC'!J11</f>
        <v>9495</v>
      </c>
      <c r="K18" s="9">
        <f>'The Triangle PC'!K11</f>
        <v>8685</v>
      </c>
      <c r="L18" s="9">
        <f>'The Triangle PC'!L11</f>
        <v>8945.55</v>
      </c>
      <c r="M18" s="9">
        <f>'The Triangle PC'!M11</f>
        <v>9213.9165</v>
      </c>
      <c r="N18" s="2"/>
      <c r="O18" s="2"/>
      <c r="P18" s="2"/>
      <c r="Q18" s="2"/>
      <c r="R18" s="2"/>
    </row>
    <row r="19" spans="2:18" ht="15">
      <c r="B19" s="5" t="str">
        <f>'Kn Gdns PC'!B2</f>
        <v>Kensington Gardens Public Convenience</v>
      </c>
      <c r="C19" s="9">
        <f>'Kn Gdns PC'!C13</f>
        <v>21800</v>
      </c>
      <c r="D19" s="9">
        <f>'Kn Gdns PC'!D13</f>
        <v>12542.578734858682</v>
      </c>
      <c r="E19" s="9">
        <f>'Kn Gdns PC'!E13</f>
        <v>8709</v>
      </c>
      <c r="F19" s="9">
        <f>'Kn Gdns PC'!F13</f>
        <v>3458.578734858681</v>
      </c>
      <c r="G19" s="9">
        <f>'Kn Gdns PC'!G13</f>
        <v>8729.421265141318</v>
      </c>
      <c r="H19" s="9">
        <f>'Kn Gdns PC'!H13</f>
        <v>-375</v>
      </c>
      <c r="I19" s="9">
        <f>'Kn Gdns PC'!I13</f>
        <v>1335.9892328398385</v>
      </c>
      <c r="J19" s="9">
        <f>'Kn Gdns PC'!J13</f>
        <v>22117</v>
      </c>
      <c r="K19" s="9">
        <f>'Kn Gdns PC'!K13</f>
        <v>20858.8</v>
      </c>
      <c r="L19" s="9">
        <f>'Kn Gdns PC'!L13</f>
        <v>21484.564000000002</v>
      </c>
      <c r="M19" s="9">
        <f>'Kn Gdns PC'!M13</f>
        <v>22129.10092</v>
      </c>
      <c r="N19" s="2"/>
      <c r="O19" s="2"/>
      <c r="P19" s="2"/>
      <c r="Q19" s="2"/>
      <c r="R19" s="2"/>
    </row>
    <row r="20" spans="2:18" ht="15">
      <c r="B20" s="5" t="str">
        <f>'Kirkley Cliff Rd PC'!B2</f>
        <v>Kirkley Cliff Road Public Convenience</v>
      </c>
      <c r="C20" s="9">
        <f>'Kirkley Cliff Rd PC'!C12</f>
        <v>6200</v>
      </c>
      <c r="D20" s="9">
        <f>'Kirkley Cliff Rd PC'!D12</f>
        <v>3321.1695827725434</v>
      </c>
      <c r="E20" s="9">
        <f>'Kirkley Cliff Rd PC'!E12</f>
        <v>2203</v>
      </c>
      <c r="F20" s="9">
        <f>'Kirkley Cliff Rd PC'!F12</f>
        <v>1118.1695827725437</v>
      </c>
      <c r="G20" s="9">
        <f>'Kirkley Cliff Rd PC'!G12</f>
        <v>2878.8304172274566</v>
      </c>
      <c r="H20" s="9">
        <f>'Kirkley Cliff Rd PC'!H12</f>
        <v>0</v>
      </c>
      <c r="I20" s="9">
        <f>'Kirkley Cliff Rd PC'!I12</f>
        <v>440.592193808883</v>
      </c>
      <c r="J20" s="9">
        <f>'Kirkley Cliff Rd PC'!J12</f>
        <v>6200</v>
      </c>
      <c r="K20" s="9">
        <f>'Kirkley Cliff Rd PC'!K12</f>
        <v>6416.999999999999</v>
      </c>
      <c r="L20" s="9">
        <f>'Kirkley Cliff Rd PC'!L12</f>
        <v>6609.509999999999</v>
      </c>
      <c r="M20" s="9">
        <f>'Kirkley Cliff Rd PC'!M12</f>
        <v>6807.7953</v>
      </c>
      <c r="N20" s="2"/>
      <c r="O20" s="2"/>
      <c r="P20" s="2"/>
      <c r="Q20" s="2"/>
      <c r="R20" s="2"/>
    </row>
    <row r="21" spans="2:18" ht="15">
      <c r="B21" s="5" t="str">
        <f>'Low Cemetery PC'!B2</f>
        <v>Lowestoft Cemetery Public Convenience</v>
      </c>
      <c r="C21" s="9">
        <f>'Low Cemetery PC'!C12</f>
        <v>6500</v>
      </c>
      <c r="D21" s="9">
        <f>'Low Cemetery PC'!D12</f>
        <v>3417.029609690444</v>
      </c>
      <c r="E21" s="9">
        <f>'Low Cemetery PC'!E12</f>
        <v>2187</v>
      </c>
      <c r="F21" s="9">
        <f>'Low Cemetery PC'!F12</f>
        <v>1130.029609690444</v>
      </c>
      <c r="G21" s="9">
        <f>'Low Cemetery PC'!G12</f>
        <v>2692.970390309556</v>
      </c>
      <c r="H21" s="9">
        <f>'Low Cemetery PC'!H12</f>
        <v>-100</v>
      </c>
      <c r="I21" s="9">
        <f>'Low Cemetery PC'!I12</f>
        <v>412.16689098250333</v>
      </c>
      <c r="J21" s="9">
        <f>'Low Cemetery PC'!J12</f>
        <v>6480</v>
      </c>
      <c r="K21" s="9">
        <f>'Low Cemetery PC'!K12</f>
        <v>6703.4</v>
      </c>
      <c r="L21" s="9">
        <f>'Low Cemetery PC'!L12</f>
        <v>6904.5019999999995</v>
      </c>
      <c r="M21" s="9">
        <f>'Low Cemetery PC'!M12</f>
        <v>7111.637059999999</v>
      </c>
      <c r="N21" s="2"/>
      <c r="O21" s="2"/>
      <c r="P21" s="2"/>
      <c r="Q21" s="2"/>
      <c r="R21" s="2"/>
    </row>
    <row r="22" spans="2:18" ht="15">
      <c r="B22" s="5" t="str">
        <f>'Fen Park PC'!B2</f>
        <v>Fen Park Public Convenience</v>
      </c>
      <c r="C22" s="9">
        <f>'Fen Park PC'!C13</f>
        <v>0</v>
      </c>
      <c r="D22" s="9">
        <f>'Fen Park PC'!D13</f>
        <v>0</v>
      </c>
      <c r="E22" s="9">
        <f>'Fen Park PC'!E13</f>
        <v>0</v>
      </c>
      <c r="F22" s="9">
        <f>'Fen Park PC'!F13</f>
        <v>0</v>
      </c>
      <c r="G22" s="9">
        <f>'Fen Park PC'!G13</f>
        <v>0</v>
      </c>
      <c r="H22" s="9">
        <f>'Fen Park PC'!H13</f>
        <v>0</v>
      </c>
      <c r="I22" s="9">
        <f>'Fen Park PC'!I13</f>
        <v>0</v>
      </c>
      <c r="J22" s="9">
        <f>'Fen Park PC'!J13</f>
        <v>0</v>
      </c>
      <c r="K22" s="9">
        <f>'Fen Park PC'!K13</f>
        <v>7500</v>
      </c>
      <c r="L22" s="9">
        <f>'Fen Park PC'!L13</f>
        <v>7500</v>
      </c>
      <c r="M22" s="9">
        <f>'Fen Park PC'!M13</f>
        <v>7500</v>
      </c>
      <c r="N22" s="2"/>
      <c r="O22" s="2"/>
      <c r="P22" s="2"/>
      <c r="Q22" s="2"/>
      <c r="R22" s="2"/>
    </row>
    <row r="23" spans="2:18" ht="15">
      <c r="B23" s="5" t="str">
        <f>Miscellaneous!B2</f>
        <v>Miscellaneous &amp; Reserve Contributions</v>
      </c>
      <c r="C23" s="9">
        <f>Miscellaneous!C19</f>
        <v>28600</v>
      </c>
      <c r="D23" s="9">
        <f>Miscellaneous!D19</f>
        <v>2999.7308209959624</v>
      </c>
      <c r="E23" s="9">
        <f>Miscellaneous!E19</f>
        <v>1989.771197846568</v>
      </c>
      <c r="F23" s="9">
        <f>Miscellaneous!F19</f>
        <v>1009.9596231493944</v>
      </c>
      <c r="G23" s="9">
        <f>Miscellaneous!G19</f>
        <v>2600.2691790040376</v>
      </c>
      <c r="H23" s="9">
        <f>Miscellaneous!H19</f>
        <v>0</v>
      </c>
      <c r="I23" s="9">
        <f>Miscellaneous!I19</f>
        <v>397.9542395693136</v>
      </c>
      <c r="J23" s="9">
        <f>Miscellaneous!J19</f>
        <v>28600</v>
      </c>
      <c r="K23" s="9">
        <f>Miscellaneous!K19</f>
        <v>31368</v>
      </c>
      <c r="L23" s="9">
        <f>Miscellaneous!L19</f>
        <v>31541.04</v>
      </c>
      <c r="M23" s="9">
        <f>Miscellaneous!M19</f>
        <v>31719.2712</v>
      </c>
      <c r="N23" s="2"/>
      <c r="O23" s="2"/>
      <c r="P23" s="2"/>
      <c r="Q23" s="2"/>
      <c r="R23" s="2"/>
    </row>
    <row r="24" spans="2:18" ht="15">
      <c r="B24" s="5" t="str">
        <f>Offices!B2</f>
        <v>Office Accommodation &amp; Town Hall</v>
      </c>
      <c r="C24" s="9">
        <f>Offices!C23</f>
        <v>86120</v>
      </c>
      <c r="D24" s="9">
        <f>Offices!D23</f>
        <v>16430</v>
      </c>
      <c r="E24" s="9">
        <f>Offices!E23</f>
        <v>2519</v>
      </c>
      <c r="F24" s="9">
        <f>Offices!F23</f>
        <v>2324</v>
      </c>
      <c r="G24" s="9">
        <f>Offices!G23</f>
        <v>0</v>
      </c>
      <c r="H24" s="9">
        <f>Offices!H23</f>
        <v>-11587</v>
      </c>
      <c r="I24" s="9">
        <f>Offices!I23</f>
        <v>0</v>
      </c>
      <c r="J24" s="9">
        <f>Offices!J23</f>
        <v>18330</v>
      </c>
      <c r="K24" s="9">
        <f>Offices!K23</f>
        <v>64775.9</v>
      </c>
      <c r="L24" s="9">
        <f>Offices!L23</f>
        <v>66719.177</v>
      </c>
      <c r="M24" s="9">
        <f>Offices!M23</f>
        <v>68720.75231</v>
      </c>
      <c r="N24" s="2"/>
      <c r="O24" s="2"/>
      <c r="P24" s="2"/>
      <c r="Q24" s="2"/>
      <c r="R24" s="2"/>
    </row>
    <row r="25" spans="2:18" ht="15">
      <c r="B25" s="5" t="str">
        <f>Administration!B2</f>
        <v>Administration</v>
      </c>
      <c r="C25" s="9">
        <f>Administration!C43</f>
        <v>455260</v>
      </c>
      <c r="D25" s="9" t="e">
        <f>Administration!D43</f>
        <v>#REF!</v>
      </c>
      <c r="E25" s="9" t="e">
        <f>Administration!E43</f>
        <v>#REF!</v>
      </c>
      <c r="F25" s="9" t="e">
        <f>Administration!F43</f>
        <v>#REF!</v>
      </c>
      <c r="G25" s="9" t="e">
        <f>Administration!G43</f>
        <v>#REF!</v>
      </c>
      <c r="H25" s="9" t="e">
        <f>Administration!H43</f>
        <v>#REF!</v>
      </c>
      <c r="I25" s="9" t="e">
        <f>Administration!I43</f>
        <v>#REF!</v>
      </c>
      <c r="J25" s="9">
        <f>Administration!J43</f>
        <v>254218.521</v>
      </c>
      <c r="K25" s="9">
        <f>Administration!K43</f>
        <v>485976.331</v>
      </c>
      <c r="L25" s="9">
        <f>Administration!L43</f>
        <v>492391.17562000005</v>
      </c>
      <c r="M25" s="9">
        <f>Administration!M43</f>
        <v>498946.4766724</v>
      </c>
      <c r="N25" s="2"/>
      <c r="O25" s="2"/>
      <c r="P25" s="2"/>
      <c r="Q25" s="2"/>
      <c r="R25" s="2"/>
    </row>
    <row r="26" spans="2:18" ht="15">
      <c r="B26" s="5"/>
      <c r="C26" s="12"/>
      <c r="D26" s="9"/>
      <c r="E26" s="9"/>
      <c r="F26" s="9"/>
      <c r="G26" s="9"/>
      <c r="H26" s="12"/>
      <c r="I26" s="12"/>
      <c r="J26" s="12"/>
      <c r="K26" s="12"/>
      <c r="L26" s="12"/>
      <c r="M26" s="12"/>
      <c r="N26" s="2"/>
      <c r="O26" s="2"/>
      <c r="P26" s="2"/>
      <c r="Q26" s="2"/>
      <c r="R26" s="2"/>
    </row>
    <row r="27" spans="2:18" ht="15">
      <c r="B27" s="5" t="s">
        <v>62</v>
      </c>
      <c r="C27" s="9">
        <f>SUM(C4:C26)</f>
        <v>1550580</v>
      </c>
      <c r="D27" s="9" t="e">
        <f aca="true" t="shared" si="0" ref="D27:M27">SUM(D4:D26)</f>
        <v>#REF!</v>
      </c>
      <c r="E27" s="9" t="e">
        <f t="shared" si="0"/>
        <v>#REF!</v>
      </c>
      <c r="F27" s="9" t="e">
        <f t="shared" si="0"/>
        <v>#REF!</v>
      </c>
      <c r="G27" s="9" t="e">
        <f t="shared" si="0"/>
        <v>#REF!</v>
      </c>
      <c r="H27" s="9" t="e">
        <f t="shared" si="0"/>
        <v>#REF!</v>
      </c>
      <c r="I27" s="9" t="e">
        <f t="shared" si="0"/>
        <v>#REF!</v>
      </c>
      <c r="J27" s="9">
        <f>SUM(J4:J26)</f>
        <v>1255022.521</v>
      </c>
      <c r="K27" s="9">
        <f t="shared" si="0"/>
        <v>1772454.3809999998</v>
      </c>
      <c r="L27" s="9">
        <f t="shared" si="0"/>
        <v>1779148.1571200003</v>
      </c>
      <c r="M27" s="9">
        <f t="shared" si="0"/>
        <v>1811406.8676174006</v>
      </c>
      <c r="N27" s="2"/>
      <c r="O27" s="2"/>
      <c r="P27" s="2"/>
      <c r="Q27" s="2"/>
      <c r="R27" s="2"/>
    </row>
    <row r="28" spans="2:13" ht="15">
      <c r="B28" s="4"/>
      <c r="C28" s="4"/>
      <c r="D28" s="34"/>
      <c r="E28" s="4"/>
      <c r="F28" s="4"/>
      <c r="G28" s="4"/>
      <c r="H28" s="4"/>
      <c r="I28" s="4"/>
      <c r="J28" s="4"/>
      <c r="K28" s="4"/>
      <c r="L28" s="4"/>
      <c r="M28" s="4"/>
    </row>
    <row r="29" spans="2:13" ht="15">
      <c r="B29" s="5" t="s">
        <v>130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ht="15">
      <c r="B30" s="5" t="str">
        <f>Museum!B2</f>
        <v>Arts, Heritage, &amp; Museums </v>
      </c>
      <c r="C30" s="29">
        <f>Museum!C13</f>
        <v>0</v>
      </c>
      <c r="D30" s="29">
        <f>Museum!D13</f>
        <v>0</v>
      </c>
      <c r="E30" s="29">
        <f>Museum!E13</f>
        <v>0</v>
      </c>
      <c r="F30" s="29">
        <f>Museum!F13</f>
        <v>0</v>
      </c>
      <c r="G30" s="29">
        <f>Museum!G13</f>
        <v>0</v>
      </c>
      <c r="H30" s="29">
        <f>Museum!H13</f>
        <v>0</v>
      </c>
      <c r="I30" s="29">
        <f>Museum!I13</f>
        <v>0</v>
      </c>
      <c r="J30" s="29">
        <f>Museum!J13</f>
        <v>0</v>
      </c>
      <c r="K30" s="29">
        <f>Museum!K13</f>
        <v>0</v>
      </c>
      <c r="L30" s="29">
        <f>Museum!L13</f>
        <v>0</v>
      </c>
      <c r="M30" s="29">
        <f>Museum!M13</f>
        <v>0</v>
      </c>
    </row>
    <row r="31" spans="2:13" ht="15">
      <c r="B31" s="5" t="s">
        <v>49</v>
      </c>
      <c r="C31" s="29">
        <f>'Caravan Site'!C11</f>
        <v>-80000</v>
      </c>
      <c r="D31" s="29">
        <f>'Caravan Site'!D11</f>
        <v>0</v>
      </c>
      <c r="E31" s="29">
        <f>'Caravan Site'!E11</f>
        <v>0</v>
      </c>
      <c r="F31" s="29">
        <f>'Caravan Site'!F11</f>
        <v>0</v>
      </c>
      <c r="G31" s="29">
        <f>'Caravan Site'!G11</f>
        <v>0</v>
      </c>
      <c r="H31" s="29">
        <f>'Caravan Site'!H11</f>
        <v>0</v>
      </c>
      <c r="I31" s="29">
        <f>'Caravan Site'!I11</f>
        <v>0</v>
      </c>
      <c r="J31" s="29">
        <f>'Caravan Site'!J11</f>
        <v>-80000</v>
      </c>
      <c r="K31" s="29">
        <f>'Caravan Site'!K11</f>
        <v>-80000</v>
      </c>
      <c r="L31" s="29">
        <f>'Caravan Site'!L11</f>
        <v>-80000</v>
      </c>
      <c r="M31" s="29">
        <f>'Caravan Site'!M11</f>
        <v>-80000</v>
      </c>
    </row>
    <row r="32" spans="2:13" ht="15">
      <c r="B32" s="5" t="s">
        <v>26</v>
      </c>
      <c r="C32" s="29">
        <f>CCTV!C15</f>
        <v>0</v>
      </c>
      <c r="D32" s="29">
        <f>CCTV!D15</f>
        <v>0</v>
      </c>
      <c r="E32" s="29">
        <f>CCTV!E15</f>
        <v>0</v>
      </c>
      <c r="F32" s="29">
        <f>CCTV!F15</f>
        <v>0</v>
      </c>
      <c r="G32" s="29">
        <f>CCTV!G15</f>
        <v>0</v>
      </c>
      <c r="H32" s="29">
        <f>CCTV!H15</f>
        <v>0</v>
      </c>
      <c r="I32" s="29">
        <f>CCTV!I15</f>
        <v>0</v>
      </c>
      <c r="J32" s="29">
        <f>CCTV!J15</f>
        <v>0</v>
      </c>
      <c r="K32" s="29">
        <f>CCTV!K15</f>
        <v>0</v>
      </c>
      <c r="L32" s="29">
        <f>CCTV!L15</f>
        <v>0</v>
      </c>
      <c r="M32" s="29">
        <f>CCTV!M15</f>
        <v>0</v>
      </c>
    </row>
    <row r="33" spans="2:13" ht="15">
      <c r="B33" s="5" t="str">
        <f>Events!B2</f>
        <v>Events and Grants</v>
      </c>
      <c r="C33" s="29">
        <f>Events!C15</f>
        <v>-5300</v>
      </c>
      <c r="D33" s="29">
        <f>Events!D15</f>
        <v>0</v>
      </c>
      <c r="E33" s="29">
        <f>Events!E15</f>
        <v>0</v>
      </c>
      <c r="F33" s="29">
        <f>Events!F15</f>
        <v>0</v>
      </c>
      <c r="G33" s="29">
        <f>Events!G15</f>
        <v>0</v>
      </c>
      <c r="H33" s="29">
        <f>Events!H15</f>
        <v>0</v>
      </c>
      <c r="I33" s="29">
        <f>Events!I15</f>
        <v>0</v>
      </c>
      <c r="J33" s="29">
        <f>Events!J15</f>
        <v>-5300</v>
      </c>
      <c r="K33" s="29">
        <f>Events!K15</f>
        <v>-5300</v>
      </c>
      <c r="L33" s="29">
        <f>Events!L15</f>
        <v>-5300</v>
      </c>
      <c r="M33" s="29">
        <f>Events!M15</f>
        <v>-5300</v>
      </c>
    </row>
    <row r="34" spans="2:13" ht="15">
      <c r="B34" s="5" t="s">
        <v>7</v>
      </c>
      <c r="C34" s="29">
        <f>'Marina Theatre'!C18</f>
        <v>0</v>
      </c>
      <c r="D34" s="29">
        <f>'Marina Theatre'!D18</f>
        <v>0</v>
      </c>
      <c r="E34" s="29">
        <f>'Marina Theatre'!E18</f>
        <v>0</v>
      </c>
      <c r="F34" s="29">
        <f>'Marina Theatre'!F18</f>
        <v>0</v>
      </c>
      <c r="G34" s="29">
        <f>'Marina Theatre'!G18</f>
        <v>0</v>
      </c>
      <c r="H34" s="29">
        <f>'Marina Theatre'!H18</f>
        <v>0</v>
      </c>
      <c r="I34" s="29">
        <f>'Marina Theatre'!I18</f>
        <v>0</v>
      </c>
      <c r="J34" s="29">
        <f>'Marina Theatre'!J18</f>
        <v>0</v>
      </c>
      <c r="K34" s="29">
        <f>'Marina Theatre'!K18</f>
        <v>-16667</v>
      </c>
      <c r="L34" s="29">
        <f>'Marina Theatre'!L18</f>
        <v>-20000</v>
      </c>
      <c r="M34" s="29">
        <f>'Marina Theatre'!M18</f>
        <v>-20000</v>
      </c>
    </row>
    <row r="35" spans="2:13" ht="15">
      <c r="B35" s="5" t="str">
        <f>'Open Spaces'!B2</f>
        <v>Allotments, Open Spaces, &amp; East of England Park</v>
      </c>
      <c r="C35" s="29">
        <f>'Open Spaces'!C19</f>
        <v>0</v>
      </c>
      <c r="D35" s="29">
        <f>'Open Spaces'!D19</f>
        <v>0</v>
      </c>
      <c r="E35" s="29">
        <f>'Open Spaces'!E19</f>
        <v>0</v>
      </c>
      <c r="F35" s="29">
        <f>'Open Spaces'!F19</f>
        <v>0</v>
      </c>
      <c r="G35" s="29">
        <f>'Open Spaces'!G19</f>
        <v>0</v>
      </c>
      <c r="H35" s="29">
        <f>'Open Spaces'!H19</f>
        <v>0</v>
      </c>
      <c r="I35" s="29">
        <f>'Open Spaces'!I19</f>
        <v>0</v>
      </c>
      <c r="J35" s="29">
        <f>'Open Spaces'!J19</f>
        <v>-524.7</v>
      </c>
      <c r="K35" s="29">
        <f>'Open Spaces'!K19</f>
        <v>-524.7</v>
      </c>
      <c r="L35" s="29">
        <f>'Open Spaces'!L19</f>
        <v>-524.7</v>
      </c>
      <c r="M35" s="29">
        <f>'Open Spaces'!M19</f>
        <v>-524.7</v>
      </c>
    </row>
    <row r="36" spans="2:13" ht="15">
      <c r="B36" s="5" t="s">
        <v>82</v>
      </c>
      <c r="C36" s="29">
        <f>'Sparrows Nest'!C21</f>
        <v>-30800</v>
      </c>
      <c r="D36" s="29">
        <f>'Sparrows Nest'!D21</f>
        <v>-15650</v>
      </c>
      <c r="E36" s="29">
        <f>'Sparrows Nest'!E21</f>
        <v>-14701</v>
      </c>
      <c r="F36" s="29">
        <f>'Sparrows Nest'!F21</f>
        <v>-1299</v>
      </c>
      <c r="G36" s="29">
        <f>'Sparrows Nest'!G21</f>
        <v>0</v>
      </c>
      <c r="H36" s="29">
        <f>'Sparrows Nest'!H21</f>
        <v>-350</v>
      </c>
      <c r="I36" s="29">
        <f>'Sparrows Nest'!I21</f>
        <v>0</v>
      </c>
      <c r="J36" s="29">
        <f>'Sparrows Nest'!J21</f>
        <v>-30800</v>
      </c>
      <c r="K36" s="29">
        <f>'Sparrows Nest'!K21</f>
        <v>-24000</v>
      </c>
      <c r="L36" s="29">
        <f>'Sparrows Nest'!L21</f>
        <v>-24000</v>
      </c>
      <c r="M36" s="29">
        <f>'Sparrows Nest'!M21</f>
        <v>-24000</v>
      </c>
    </row>
    <row r="37" spans="2:13" ht="15">
      <c r="B37" s="5" t="s">
        <v>63</v>
      </c>
      <c r="C37" s="29">
        <f>'Belle Vue'!C15</f>
        <v>-1500</v>
      </c>
      <c r="D37" s="29">
        <f>'Belle Vue'!D15</f>
        <v>-350</v>
      </c>
      <c r="E37" s="29">
        <f>'Belle Vue'!E15</f>
        <v>-1241</v>
      </c>
      <c r="F37" s="29">
        <f>'Belle Vue'!F15</f>
        <v>0</v>
      </c>
      <c r="G37" s="29">
        <f>'Belle Vue'!G15</f>
        <v>0</v>
      </c>
      <c r="H37" s="29">
        <f>'Belle Vue'!H15</f>
        <v>-891</v>
      </c>
      <c r="I37" s="29">
        <f>'Belle Vue'!I15</f>
        <v>0</v>
      </c>
      <c r="J37" s="29">
        <f>'Belle Vue'!J15</f>
        <v>-4270</v>
      </c>
      <c r="K37" s="29">
        <f>'Belle Vue'!K15</f>
        <v>-3470</v>
      </c>
      <c r="L37" s="29">
        <f>'Belle Vue'!L15</f>
        <v>-3470</v>
      </c>
      <c r="M37" s="29">
        <f>'Belle Vue'!M15</f>
        <v>-3470</v>
      </c>
    </row>
    <row r="38" spans="2:13" ht="15">
      <c r="B38" s="5" t="s">
        <v>88</v>
      </c>
      <c r="C38" s="29">
        <f>'Kensington Gdns'!C18</f>
        <v>-11600</v>
      </c>
      <c r="D38" s="29">
        <f>'Kensington Gdns'!D18</f>
        <v>-5845</v>
      </c>
      <c r="E38" s="29">
        <f>'Kensington Gdns'!E18</f>
        <v>-5787</v>
      </c>
      <c r="F38" s="29">
        <f>'Kensington Gdns'!F18</f>
        <v>-3482</v>
      </c>
      <c r="G38" s="29">
        <f>'Kensington Gdns'!G18</f>
        <v>0</v>
      </c>
      <c r="H38" s="29">
        <f>'Kensington Gdns'!H18</f>
        <v>-3424</v>
      </c>
      <c r="I38" s="29">
        <f>'Kensington Gdns'!I18</f>
        <v>0</v>
      </c>
      <c r="J38" s="29">
        <f>'Kensington Gdns'!J18</f>
        <v>-11645</v>
      </c>
      <c r="K38" s="29">
        <f>'Kensington Gdns'!K18</f>
        <v>-3145</v>
      </c>
      <c r="L38" s="29">
        <f>'Kensington Gdns'!L18</f>
        <v>-3145</v>
      </c>
      <c r="M38" s="29">
        <f>'Kensington Gdns'!M18</f>
        <v>-3145</v>
      </c>
    </row>
    <row r="39" spans="2:13" ht="15">
      <c r="B39" s="5" t="s">
        <v>8</v>
      </c>
      <c r="C39" s="29">
        <f>'Play Areas'!C31</f>
        <v>0</v>
      </c>
      <c r="D39" s="29">
        <f>'Play Areas'!D31</f>
        <v>0</v>
      </c>
      <c r="E39" s="29">
        <f>'Play Areas'!E31</f>
        <v>0</v>
      </c>
      <c r="F39" s="29">
        <f>'Play Areas'!F31</f>
        <v>0</v>
      </c>
      <c r="G39" s="29">
        <f>'Play Areas'!G31</f>
        <v>0</v>
      </c>
      <c r="H39" s="29">
        <f>'Play Areas'!H31</f>
        <v>0</v>
      </c>
      <c r="I39" s="29">
        <f>'Play Areas'!I31</f>
        <v>0</v>
      </c>
      <c r="J39" s="29">
        <f>'Play Areas'!J31</f>
        <v>0</v>
      </c>
      <c r="K39" s="29">
        <f>'Play Areas'!K31</f>
        <v>0</v>
      </c>
      <c r="L39" s="29">
        <f>'Play Areas'!L31</f>
        <v>0</v>
      </c>
      <c r="M39" s="29">
        <f>'Play Areas'!M31</f>
        <v>0</v>
      </c>
    </row>
    <row r="40" spans="2:13" ht="15">
      <c r="B40" s="5" t="s">
        <v>9</v>
      </c>
      <c r="C40" s="29">
        <f>'Denes Oval'!C17</f>
        <v>-9900</v>
      </c>
      <c r="D40" s="29">
        <f>'Denes Oval'!D17</f>
        <v>-4950</v>
      </c>
      <c r="E40" s="29">
        <f>'Denes Oval'!E17</f>
        <v>-914</v>
      </c>
      <c r="F40" s="29">
        <f>'Denes Oval'!F17</f>
        <v>-954</v>
      </c>
      <c r="G40" s="29">
        <f>'Denes Oval'!G17</f>
        <v>0</v>
      </c>
      <c r="H40" s="29">
        <f>'Denes Oval'!H17</f>
        <v>3082</v>
      </c>
      <c r="I40" s="29">
        <f>'Denes Oval'!I17</f>
        <v>0</v>
      </c>
      <c r="J40" s="29">
        <f>'Denes Oval'!J17</f>
        <v>-9900</v>
      </c>
      <c r="K40" s="29">
        <f>'Denes Oval'!K17</f>
        <v>0</v>
      </c>
      <c r="L40" s="29">
        <f>'Denes Oval'!L17</f>
        <v>0</v>
      </c>
      <c r="M40" s="29">
        <f>'Denes Oval'!M17</f>
        <v>0</v>
      </c>
    </row>
    <row r="41" spans="2:13" ht="15">
      <c r="B41" s="5" t="s">
        <v>10</v>
      </c>
      <c r="C41" s="29">
        <f>'Normanston Park'!C16</f>
        <v>-9400</v>
      </c>
      <c r="D41" s="29">
        <f>'Normanston Park'!D16</f>
        <v>-5425</v>
      </c>
      <c r="E41" s="29">
        <f>'Normanston Park'!E16</f>
        <v>-6364</v>
      </c>
      <c r="F41" s="29">
        <f>'Normanston Park'!F16</f>
        <v>-1149</v>
      </c>
      <c r="G41" s="29">
        <f>'Normanston Park'!G16</f>
        <v>0</v>
      </c>
      <c r="H41" s="29">
        <f>'Normanston Park'!H16</f>
        <v>-2088</v>
      </c>
      <c r="I41" s="29">
        <f>'Normanston Park'!I16</f>
        <v>0</v>
      </c>
      <c r="J41" s="29">
        <f>'Normanston Park'!J16</f>
        <v>-10850</v>
      </c>
      <c r="K41" s="29">
        <f>'Normanston Park'!K16</f>
        <v>-6250</v>
      </c>
      <c r="L41" s="29">
        <f>'Normanston Park'!L16</f>
        <v>-6250</v>
      </c>
      <c r="M41" s="29">
        <f>'Normanston Park'!M16</f>
        <v>-6250</v>
      </c>
    </row>
    <row r="42" spans="2:13" ht="15">
      <c r="B42" s="5" t="s">
        <v>92</v>
      </c>
      <c r="C42" s="29">
        <f>'Pakefield St PC'!C14</f>
        <v>0</v>
      </c>
      <c r="D42" s="29">
        <f>'Pakefield St PC'!D14</f>
        <v>0</v>
      </c>
      <c r="E42" s="29">
        <f>'Pakefield St PC'!E14</f>
        <v>0</v>
      </c>
      <c r="F42" s="29">
        <f>'Pakefield St PC'!F14</f>
        <v>0</v>
      </c>
      <c r="G42" s="29">
        <f>'Pakefield St PC'!G14</f>
        <v>0</v>
      </c>
      <c r="H42" s="29">
        <f>'Pakefield St PC'!H14</f>
        <v>0</v>
      </c>
      <c r="I42" s="29">
        <f>'Pakefield St PC'!I14</f>
        <v>0</v>
      </c>
      <c r="J42" s="29">
        <f>'Pakefield St PC'!J14</f>
        <v>0</v>
      </c>
      <c r="K42" s="29">
        <f>'Pakefield St PC'!K14</f>
        <v>0</v>
      </c>
      <c r="L42" s="29">
        <f>'Pakefield St PC'!L14</f>
        <v>0</v>
      </c>
      <c r="M42" s="29">
        <f>'Pakefield St PC'!M14</f>
        <v>0</v>
      </c>
    </row>
    <row r="43" spans="2:13" ht="15">
      <c r="B43" s="5" t="s">
        <v>93</v>
      </c>
      <c r="C43" s="29">
        <f>'The Triangle PC'!C13</f>
        <v>0</v>
      </c>
      <c r="D43" s="29">
        <f>'The Triangle PC'!D13</f>
        <v>0</v>
      </c>
      <c r="E43" s="29">
        <f>'The Triangle PC'!E13</f>
        <v>0</v>
      </c>
      <c r="F43" s="29">
        <f>'The Triangle PC'!F13</f>
        <v>0</v>
      </c>
      <c r="G43" s="29">
        <f>'The Triangle PC'!G13</f>
        <v>0</v>
      </c>
      <c r="H43" s="29">
        <f>'The Triangle PC'!H13</f>
        <v>0</v>
      </c>
      <c r="I43" s="29">
        <f>'The Triangle PC'!I13</f>
        <v>0</v>
      </c>
      <c r="J43" s="29">
        <f>'The Triangle PC'!J13</f>
        <v>0</v>
      </c>
      <c r="K43" s="29">
        <f>'The Triangle PC'!K13</f>
        <v>0</v>
      </c>
      <c r="L43" s="29">
        <f>'The Triangle PC'!L13</f>
        <v>0</v>
      </c>
      <c r="M43" s="29">
        <f>'The Triangle PC'!M13</f>
        <v>0</v>
      </c>
    </row>
    <row r="44" spans="2:13" ht="15">
      <c r="B44" s="5" t="s">
        <v>94</v>
      </c>
      <c r="C44" s="29">
        <f>'Kn Gdns PC'!C15</f>
        <v>0</v>
      </c>
      <c r="D44" s="29">
        <f>'Kn Gdns PC'!D15</f>
        <v>0</v>
      </c>
      <c r="E44" s="29">
        <f>'Kn Gdns PC'!E15</f>
        <v>0</v>
      </c>
      <c r="F44" s="29">
        <f>'Kn Gdns PC'!F15</f>
        <v>0</v>
      </c>
      <c r="G44" s="29">
        <f>'Kn Gdns PC'!G15</f>
        <v>0</v>
      </c>
      <c r="H44" s="29">
        <f>'Kn Gdns PC'!H15</f>
        <v>0</v>
      </c>
      <c r="I44" s="29">
        <f>'Kn Gdns PC'!I15</f>
        <v>0</v>
      </c>
      <c r="J44" s="29">
        <f>'Kn Gdns PC'!J15</f>
        <v>0</v>
      </c>
      <c r="K44" s="29">
        <f>'Kn Gdns PC'!K15</f>
        <v>0</v>
      </c>
      <c r="L44" s="29">
        <f>'Kn Gdns PC'!L15</f>
        <v>0</v>
      </c>
      <c r="M44" s="29">
        <f>'Kn Gdns PC'!M15</f>
        <v>0</v>
      </c>
    </row>
    <row r="45" spans="2:13" ht="15">
      <c r="B45" s="5" t="s">
        <v>96</v>
      </c>
      <c r="C45" s="29">
        <f>'Kirkley Cliff Rd PC'!C14</f>
        <v>0</v>
      </c>
      <c r="D45" s="29">
        <f>'Kirkley Cliff Rd PC'!D14</f>
        <v>0</v>
      </c>
      <c r="E45" s="29">
        <f>'Kirkley Cliff Rd PC'!E14</f>
        <v>0</v>
      </c>
      <c r="F45" s="29">
        <f>'Kirkley Cliff Rd PC'!F14</f>
        <v>0</v>
      </c>
      <c r="G45" s="29">
        <f>'Kirkley Cliff Rd PC'!G14</f>
        <v>0</v>
      </c>
      <c r="H45" s="29">
        <f>'Kirkley Cliff Rd PC'!H14</f>
        <v>0</v>
      </c>
      <c r="I45" s="29">
        <f>'Kirkley Cliff Rd PC'!I14</f>
        <v>0</v>
      </c>
      <c r="J45" s="29">
        <f>'Kirkley Cliff Rd PC'!J14</f>
        <v>0</v>
      </c>
      <c r="K45" s="29">
        <f>'Kirkley Cliff Rd PC'!K14</f>
        <v>0</v>
      </c>
      <c r="L45" s="29">
        <f>'Kirkley Cliff Rd PC'!L14</f>
        <v>0</v>
      </c>
      <c r="M45" s="29">
        <f>'Kirkley Cliff Rd PC'!M14</f>
        <v>0</v>
      </c>
    </row>
    <row r="46" spans="2:13" ht="15">
      <c r="B46" s="5" t="s">
        <v>95</v>
      </c>
      <c r="C46" s="29">
        <f>'Low Cemetery PC'!C14</f>
        <v>0</v>
      </c>
      <c r="D46" s="29">
        <f>'Low Cemetery PC'!D14</f>
        <v>0</v>
      </c>
      <c r="E46" s="29">
        <f>'Low Cemetery PC'!E14</f>
        <v>0</v>
      </c>
      <c r="F46" s="29">
        <f>'Low Cemetery PC'!F14</f>
        <v>0</v>
      </c>
      <c r="G46" s="29">
        <f>'Low Cemetery PC'!G14</f>
        <v>0</v>
      </c>
      <c r="H46" s="29">
        <f>'Low Cemetery PC'!H14</f>
        <v>0</v>
      </c>
      <c r="I46" s="29">
        <f>'Low Cemetery PC'!I14</f>
        <v>0</v>
      </c>
      <c r="J46" s="29">
        <f>'Low Cemetery PC'!J14</f>
        <v>0</v>
      </c>
      <c r="K46" s="29">
        <f>'Low Cemetery PC'!K14</f>
        <v>0</v>
      </c>
      <c r="L46" s="29">
        <f>'Low Cemetery PC'!L14</f>
        <v>0</v>
      </c>
      <c r="M46" s="29">
        <f>'Low Cemetery PC'!M14</f>
        <v>0</v>
      </c>
    </row>
    <row r="47" spans="2:13" ht="15">
      <c r="B47" s="5" t="str">
        <f>'Fen Park PC'!B2</f>
        <v>Fen Park Public Convenience</v>
      </c>
      <c r="C47" s="29">
        <f>'Fen Park PC'!C15</f>
        <v>0</v>
      </c>
      <c r="D47" s="29">
        <f>'Fen Park PC'!D15</f>
        <v>0</v>
      </c>
      <c r="E47" s="29">
        <f>'Fen Park PC'!E15</f>
        <v>0</v>
      </c>
      <c r="F47" s="29">
        <f>'Fen Park PC'!F15</f>
        <v>0</v>
      </c>
      <c r="G47" s="29">
        <f>'Fen Park PC'!G15</f>
        <v>0</v>
      </c>
      <c r="H47" s="29">
        <f>'Fen Park PC'!H15</f>
        <v>0</v>
      </c>
      <c r="I47" s="29">
        <f>'Fen Park PC'!I15</f>
        <v>0</v>
      </c>
      <c r="J47" s="29">
        <f>'Fen Park PC'!J15</f>
        <v>0</v>
      </c>
      <c r="K47" s="29">
        <f>'Fen Park PC'!K15</f>
        <v>0</v>
      </c>
      <c r="L47" s="29">
        <f>'Fen Park PC'!L15</f>
        <v>0</v>
      </c>
      <c r="M47" s="29">
        <f>'Fen Park PC'!M15</f>
        <v>0</v>
      </c>
    </row>
    <row r="48" spans="2:13" ht="15">
      <c r="B48" s="5" t="str">
        <f>Miscellaneous!B2</f>
        <v>Miscellaneous &amp; Reserve Contributions</v>
      </c>
      <c r="C48" s="29">
        <f>Miscellaneous!C24</f>
        <v>-9800</v>
      </c>
      <c r="D48" s="29">
        <f>Miscellaneous!D24</f>
        <v>-1250</v>
      </c>
      <c r="E48" s="29">
        <f>Miscellaneous!E24</f>
        <v>-1300</v>
      </c>
      <c r="F48" s="29">
        <f>Miscellaneous!F24</f>
        <v>0</v>
      </c>
      <c r="G48" s="29">
        <f>Miscellaneous!G24</f>
        <v>0</v>
      </c>
      <c r="H48" s="29">
        <f>Miscellaneous!H24</f>
        <v>-50</v>
      </c>
      <c r="I48" s="29">
        <f>Miscellaneous!I24</f>
        <v>0</v>
      </c>
      <c r="J48" s="29">
        <f>Miscellaneous!J24</f>
        <v>-7350</v>
      </c>
      <c r="K48" s="29">
        <f>Miscellaneous!K24</f>
        <v>-7350</v>
      </c>
      <c r="L48" s="29">
        <f>Miscellaneous!L24</f>
        <v>-7350</v>
      </c>
      <c r="M48" s="29">
        <f>Miscellaneous!M24</f>
        <v>-7350</v>
      </c>
    </row>
    <row r="49" spans="2:13" ht="15">
      <c r="B49" s="5" t="str">
        <f>Offices!B2</f>
        <v>Office Accommodation &amp; Town Hall</v>
      </c>
      <c r="C49" s="29">
        <f>Offices!C27</f>
        <v>0</v>
      </c>
      <c r="D49" s="29">
        <f>Offices!D27</f>
        <v>0</v>
      </c>
      <c r="E49" s="29">
        <f>Offices!E27</f>
        <v>0</v>
      </c>
      <c r="F49" s="29">
        <f>Offices!F27</f>
        <v>0</v>
      </c>
      <c r="G49" s="29">
        <f>Offices!G27</f>
        <v>0</v>
      </c>
      <c r="H49" s="29">
        <f>Offices!H27</f>
        <v>0</v>
      </c>
      <c r="I49" s="29">
        <f>Offices!I27</f>
        <v>0</v>
      </c>
      <c r="J49" s="29">
        <f>Offices!J27</f>
        <v>0</v>
      </c>
      <c r="K49" s="29">
        <f>Offices!K27</f>
        <v>-1900</v>
      </c>
      <c r="L49" s="29">
        <f>Offices!L27</f>
        <v>-2287</v>
      </c>
      <c r="M49" s="29">
        <f>Offices!M27</f>
        <v>-2685</v>
      </c>
    </row>
    <row r="50" spans="2:13" ht="15">
      <c r="B50" s="5" t="s">
        <v>11</v>
      </c>
      <c r="C50" s="29">
        <f>Administration!C45</f>
        <v>0</v>
      </c>
      <c r="D50" s="29">
        <f>Administration!D45</f>
        <v>0</v>
      </c>
      <c r="E50" s="29">
        <f>Administration!E45</f>
        <v>0</v>
      </c>
      <c r="F50" s="29">
        <f>Administration!F45</f>
        <v>0</v>
      </c>
      <c r="G50" s="29">
        <f>Administration!G45</f>
        <v>0</v>
      </c>
      <c r="H50" s="29">
        <f>Administration!H45</f>
        <v>0</v>
      </c>
      <c r="I50" s="29">
        <f>Administration!I45</f>
        <v>0</v>
      </c>
      <c r="J50" s="29">
        <f>Administration!J45</f>
        <v>0</v>
      </c>
      <c r="K50" s="29">
        <f>Administration!K45</f>
        <v>-15000</v>
      </c>
      <c r="L50" s="29">
        <f>Administration!L45</f>
        <v>0</v>
      </c>
      <c r="M50" s="29">
        <f>Administration!M45</f>
        <v>0</v>
      </c>
    </row>
    <row r="51" spans="2:13" ht="15">
      <c r="B51" s="5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2:13" ht="15">
      <c r="B52" s="5" t="s">
        <v>0</v>
      </c>
      <c r="C52" s="29">
        <f>SUM(C30:C50)</f>
        <v>-158300</v>
      </c>
      <c r="D52" s="29">
        <f aca="true" t="shared" si="1" ref="D52:M52">SUM(D30:D50)</f>
        <v>-33470</v>
      </c>
      <c r="E52" s="29">
        <f t="shared" si="1"/>
        <v>-30307</v>
      </c>
      <c r="F52" s="29">
        <f t="shared" si="1"/>
        <v>-6884</v>
      </c>
      <c r="G52" s="29">
        <f t="shared" si="1"/>
        <v>0</v>
      </c>
      <c r="H52" s="29">
        <f t="shared" si="1"/>
        <v>-3721</v>
      </c>
      <c r="I52" s="29">
        <f t="shared" si="1"/>
        <v>0</v>
      </c>
      <c r="J52" s="29">
        <f t="shared" si="1"/>
        <v>-160639.7</v>
      </c>
      <c r="K52" s="29">
        <f t="shared" si="1"/>
        <v>-163606.7</v>
      </c>
      <c r="L52" s="29">
        <f t="shared" si="1"/>
        <v>-152326.7</v>
      </c>
      <c r="M52" s="29">
        <f t="shared" si="1"/>
        <v>-152724.7</v>
      </c>
    </row>
    <row r="53" spans="2:13" ht="15">
      <c r="B53" s="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ht="15">
      <c r="B54" s="5" t="s">
        <v>65</v>
      </c>
      <c r="C54" s="29">
        <f>C27+C52</f>
        <v>1392280</v>
      </c>
      <c r="D54" s="29" t="e">
        <f aca="true" t="shared" si="2" ref="D54:M54">D27+D52</f>
        <v>#REF!</v>
      </c>
      <c r="E54" s="29" t="e">
        <f t="shared" si="2"/>
        <v>#REF!</v>
      </c>
      <c r="F54" s="29" t="e">
        <f t="shared" si="2"/>
        <v>#REF!</v>
      </c>
      <c r="G54" s="29" t="e">
        <f t="shared" si="2"/>
        <v>#REF!</v>
      </c>
      <c r="H54" s="29" t="e">
        <f t="shared" si="2"/>
        <v>#REF!</v>
      </c>
      <c r="I54" s="29" t="e">
        <f t="shared" si="2"/>
        <v>#REF!</v>
      </c>
      <c r="J54" s="29">
        <f t="shared" si="2"/>
        <v>1094382.821</v>
      </c>
      <c r="K54" s="29">
        <f t="shared" si="2"/>
        <v>1608847.6809999999</v>
      </c>
      <c r="L54" s="29">
        <f t="shared" si="2"/>
        <v>1626821.4571200004</v>
      </c>
      <c r="M54" s="29">
        <f t="shared" si="2"/>
        <v>1658682.1676174006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9"/>
  <sheetViews>
    <sheetView zoomScalePageLayoutView="0" workbookViewId="0" topLeftCell="A1">
      <selection activeCell="S7" sqref="S7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18" ht="30">
      <c r="B2" s="5" t="s">
        <v>186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</row>
    <row r="3" spans="2:18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28" ht="15">
      <c r="B5" s="6" t="s">
        <v>69</v>
      </c>
      <c r="C5" s="12">
        <v>400</v>
      </c>
      <c r="D5" s="9"/>
      <c r="E5" s="9"/>
      <c r="F5" s="9"/>
      <c r="G5" s="9"/>
      <c r="H5" s="12">
        <f>E5+F5-D5</f>
        <v>0</v>
      </c>
      <c r="I5" s="12"/>
      <c r="J5" s="12">
        <v>400</v>
      </c>
      <c r="K5" s="12">
        <v>400</v>
      </c>
      <c r="L5" s="12">
        <v>400</v>
      </c>
      <c r="M5" s="12">
        <v>400</v>
      </c>
      <c r="N5" s="2"/>
      <c r="O5" s="2"/>
      <c r="P5" s="2"/>
      <c r="Q5" s="2"/>
      <c r="R5" s="2"/>
      <c r="T5" s="116"/>
      <c r="U5" s="116"/>
      <c r="V5" s="116"/>
      <c r="W5" s="116"/>
      <c r="X5" s="116"/>
      <c r="Y5" s="116"/>
      <c r="Z5" s="116"/>
      <c r="AA5" s="116"/>
      <c r="AB5" s="116"/>
    </row>
    <row r="6" spans="2:28" ht="15">
      <c r="B6" s="6" t="s">
        <v>60</v>
      </c>
      <c r="C6" s="12">
        <v>0</v>
      </c>
      <c r="D6" s="12">
        <v>0</v>
      </c>
      <c r="E6" s="12">
        <v>75</v>
      </c>
      <c r="F6" s="9"/>
      <c r="G6" s="9"/>
      <c r="H6" s="12">
        <f>E6+F6-D6</f>
        <v>75</v>
      </c>
      <c r="I6" s="12"/>
      <c r="J6" s="12">
        <v>450</v>
      </c>
      <c r="K6" s="12">
        <f>J6*1.03</f>
        <v>463.5</v>
      </c>
      <c r="L6" s="12">
        <f>K6*1.03</f>
        <v>477.40500000000003</v>
      </c>
      <c r="M6" s="12">
        <f>L6*1.03</f>
        <v>491.72715000000005</v>
      </c>
      <c r="N6" s="2"/>
      <c r="O6" s="2"/>
      <c r="P6" s="2"/>
      <c r="Q6" s="2"/>
      <c r="R6" s="2"/>
      <c r="T6" s="116"/>
      <c r="U6" s="116"/>
      <c r="V6" s="116"/>
      <c r="W6" s="116"/>
      <c r="X6" s="116"/>
      <c r="Y6" s="116"/>
      <c r="Z6" s="116"/>
      <c r="AA6" s="116"/>
      <c r="AB6" s="116"/>
    </row>
    <row r="7" spans="2:28" ht="15">
      <c r="B7" s="6" t="s">
        <v>187</v>
      </c>
      <c r="C7" s="12">
        <v>0</v>
      </c>
      <c r="D7" s="12"/>
      <c r="E7" s="12"/>
      <c r="F7" s="9"/>
      <c r="G7" s="9"/>
      <c r="H7" s="12"/>
      <c r="I7" s="12"/>
      <c r="J7" s="12">
        <v>2000</v>
      </c>
      <c r="K7" s="12">
        <v>28000</v>
      </c>
      <c r="L7" s="12">
        <v>0</v>
      </c>
      <c r="M7" s="12">
        <v>0</v>
      </c>
      <c r="N7" s="2"/>
      <c r="O7" s="2"/>
      <c r="P7" s="2"/>
      <c r="Q7" s="2"/>
      <c r="R7" s="2"/>
      <c r="T7" s="116"/>
      <c r="U7" s="116"/>
      <c r="V7" s="116"/>
      <c r="W7" s="116"/>
      <c r="X7" s="116"/>
      <c r="Y7" s="116"/>
      <c r="Z7" s="116"/>
      <c r="AA7" s="116"/>
      <c r="AB7" s="116"/>
    </row>
    <row r="8" spans="2:28" ht="15">
      <c r="B8" s="6" t="s">
        <v>70</v>
      </c>
      <c r="C8" s="12">
        <v>1100</v>
      </c>
      <c r="D8" s="12">
        <v>106</v>
      </c>
      <c r="E8" s="12">
        <v>106</v>
      </c>
      <c r="F8" s="9"/>
      <c r="G8" s="9"/>
      <c r="H8" s="12">
        <f>E8+F8-D8</f>
        <v>0</v>
      </c>
      <c r="I8" s="12"/>
      <c r="J8" s="12">
        <v>1100</v>
      </c>
      <c r="K8" s="12">
        <f>J8*1.03</f>
        <v>1133</v>
      </c>
      <c r="L8" s="12">
        <f>K8*1.03</f>
        <v>1166.99</v>
      </c>
      <c r="M8" s="12">
        <f>L8*1.03</f>
        <v>1201.9997</v>
      </c>
      <c r="N8" s="2"/>
      <c r="O8" s="2"/>
      <c r="P8" s="2"/>
      <c r="Q8" s="2"/>
      <c r="R8" s="2"/>
      <c r="T8" s="116"/>
      <c r="U8" s="116"/>
      <c r="V8" s="116"/>
      <c r="W8" s="116"/>
      <c r="X8" s="116"/>
      <c r="Y8" s="116"/>
      <c r="Z8" s="116"/>
      <c r="AA8" s="116"/>
      <c r="AB8" s="116"/>
    </row>
    <row r="9" spans="2:18" ht="15">
      <c r="B9" s="5" t="s">
        <v>71</v>
      </c>
      <c r="C9" s="9">
        <f>SUM(C5:C8)</f>
        <v>1500</v>
      </c>
      <c r="D9" s="9">
        <f aca="true" t="shared" si="0" ref="D9:M9">SUM(D5:D8)</f>
        <v>106</v>
      </c>
      <c r="E9" s="9">
        <f t="shared" si="0"/>
        <v>181</v>
      </c>
      <c r="F9" s="9">
        <f t="shared" si="0"/>
        <v>0</v>
      </c>
      <c r="G9" s="9">
        <f>SUM(G5:G8)</f>
        <v>0</v>
      </c>
      <c r="H9" s="9">
        <f>SUM(H5:H8)</f>
        <v>75</v>
      </c>
      <c r="I9" s="9">
        <f>SUM(I5:I8)</f>
        <v>0</v>
      </c>
      <c r="J9" s="9">
        <f>SUM(J5:J8)</f>
        <v>3950</v>
      </c>
      <c r="K9" s="9">
        <f t="shared" si="0"/>
        <v>29996.5</v>
      </c>
      <c r="L9" s="9">
        <f t="shared" si="0"/>
        <v>2044.395</v>
      </c>
      <c r="M9" s="9">
        <f t="shared" si="0"/>
        <v>2093.72685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62</v>
      </c>
      <c r="C11" s="9">
        <f>C9</f>
        <v>1500</v>
      </c>
      <c r="D11" s="9">
        <f aca="true" t="shared" si="1" ref="D11:M11">D9</f>
        <v>106</v>
      </c>
      <c r="E11" s="9">
        <f t="shared" si="1"/>
        <v>181</v>
      </c>
      <c r="F11" s="9">
        <f t="shared" si="1"/>
        <v>0</v>
      </c>
      <c r="G11" s="9">
        <f>G9</f>
        <v>0</v>
      </c>
      <c r="H11" s="9">
        <f>H9</f>
        <v>75</v>
      </c>
      <c r="I11" s="9">
        <f>I9</f>
        <v>0</v>
      </c>
      <c r="J11" s="9">
        <f>J9</f>
        <v>3950</v>
      </c>
      <c r="K11" s="9">
        <f t="shared" si="1"/>
        <v>29996.5</v>
      </c>
      <c r="L11" s="9">
        <f t="shared" si="1"/>
        <v>2044.395</v>
      </c>
      <c r="M11" s="9">
        <f t="shared" si="1"/>
        <v>2093.72685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>E13+F13-D13</f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65</v>
      </c>
      <c r="C15" s="9">
        <f>C11+C13</f>
        <v>1500</v>
      </c>
      <c r="D15" s="9">
        <f aca="true" t="shared" si="2" ref="D15:M15">D11+D13</f>
        <v>106</v>
      </c>
      <c r="E15" s="9">
        <f t="shared" si="2"/>
        <v>181</v>
      </c>
      <c r="F15" s="9">
        <f t="shared" si="2"/>
        <v>0</v>
      </c>
      <c r="G15" s="9">
        <f>G11+G13</f>
        <v>0</v>
      </c>
      <c r="H15" s="9">
        <f>H11+H13</f>
        <v>75</v>
      </c>
      <c r="I15" s="9">
        <f>I11+I13</f>
        <v>0</v>
      </c>
      <c r="J15" s="9">
        <f>J11+J13</f>
        <v>3950</v>
      </c>
      <c r="K15" s="9">
        <f t="shared" si="2"/>
        <v>29996.5</v>
      </c>
      <c r="L15" s="9">
        <f t="shared" si="2"/>
        <v>2044.395</v>
      </c>
      <c r="M15" s="9">
        <f t="shared" si="2"/>
        <v>2093.72685</v>
      </c>
      <c r="N15" s="2"/>
      <c r="O15" s="2"/>
      <c r="P15" s="2"/>
      <c r="Q15" s="2"/>
      <c r="R15" s="2"/>
    </row>
    <row r="17" ht="15">
      <c r="B17" s="1"/>
    </row>
    <row r="18" spans="2:13" ht="15" customHeight="1">
      <c r="B18" s="2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3:13" ht="1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</sheetData>
  <sheetProtection/>
  <mergeCells count="1">
    <mergeCell ref="T5:AB8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8"/>
  <sheetViews>
    <sheetView zoomScalePageLayoutView="0" workbookViewId="0" topLeftCell="A1">
      <selection activeCell="M29" sqref="M2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49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72</v>
      </c>
      <c r="C5" s="12">
        <v>1300</v>
      </c>
      <c r="D5" s="9"/>
      <c r="E5" s="9"/>
      <c r="F5" s="9"/>
      <c r="G5" s="9"/>
      <c r="H5" s="12">
        <f>E5+F5-D5</f>
        <v>0</v>
      </c>
      <c r="I5" s="12"/>
      <c r="J5" s="12">
        <v>1300</v>
      </c>
      <c r="K5" s="12">
        <v>1300</v>
      </c>
      <c r="L5" s="12">
        <v>1300</v>
      </c>
      <c r="M5" s="12">
        <v>1300</v>
      </c>
      <c r="N5" s="2"/>
      <c r="O5" s="2"/>
      <c r="P5" s="2"/>
      <c r="Q5" s="2"/>
      <c r="R5" s="2"/>
    </row>
    <row r="6" spans="2:18" ht="15">
      <c r="B6" s="5" t="s">
        <v>71</v>
      </c>
      <c r="C6" s="9">
        <f aca="true" t="shared" si="0" ref="C6:M6">SUM(C5:C5)</f>
        <v>1300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>SUM(H5:H5)</f>
        <v>0</v>
      </c>
      <c r="I6" s="9">
        <f>SUM(I5:I5)</f>
        <v>0</v>
      </c>
      <c r="J6" s="9">
        <f>SUM(J5:J5)</f>
        <v>1300</v>
      </c>
      <c r="K6" s="9">
        <f t="shared" si="0"/>
        <v>1300</v>
      </c>
      <c r="L6" s="9">
        <f t="shared" si="0"/>
        <v>1300</v>
      </c>
      <c r="M6" s="9">
        <f t="shared" si="0"/>
        <v>1300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5" t="s">
        <v>62</v>
      </c>
      <c r="C8" s="9">
        <f>C6</f>
        <v>1300</v>
      </c>
      <c r="D8" s="9">
        <f aca="true" t="shared" si="1" ref="D8:M8">D6</f>
        <v>0</v>
      </c>
      <c r="E8" s="9">
        <f t="shared" si="1"/>
        <v>0</v>
      </c>
      <c r="F8" s="9">
        <f t="shared" si="1"/>
        <v>0</v>
      </c>
      <c r="G8" s="9">
        <f>G6</f>
        <v>0</v>
      </c>
      <c r="H8" s="9">
        <f>H6</f>
        <v>0</v>
      </c>
      <c r="I8" s="9">
        <f>I6</f>
        <v>0</v>
      </c>
      <c r="J8" s="9">
        <f>J6</f>
        <v>1300</v>
      </c>
      <c r="K8" s="9">
        <f t="shared" si="1"/>
        <v>1300</v>
      </c>
      <c r="L8" s="9">
        <f t="shared" si="1"/>
        <v>1300</v>
      </c>
      <c r="M8" s="9">
        <f t="shared" si="1"/>
        <v>1300</v>
      </c>
      <c r="N8" s="2"/>
      <c r="O8" s="2"/>
      <c r="P8" s="2"/>
      <c r="Q8" s="2"/>
      <c r="R8" s="2"/>
    </row>
    <row r="9" spans="2:18" ht="1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</row>
    <row r="10" spans="2:18" ht="15">
      <c r="B10" s="6" t="s">
        <v>120</v>
      </c>
      <c r="C10" s="12">
        <v>-80000</v>
      </c>
      <c r="D10" s="9"/>
      <c r="E10" s="9"/>
      <c r="F10" s="9"/>
      <c r="G10" s="9"/>
      <c r="H10" s="12">
        <f>E10+F10-D10</f>
        <v>0</v>
      </c>
      <c r="I10" s="12"/>
      <c r="J10" s="12">
        <v>-80000</v>
      </c>
      <c r="K10" s="12">
        <v>-80000</v>
      </c>
      <c r="L10" s="12">
        <v>-80000</v>
      </c>
      <c r="M10" s="12">
        <v>-80000</v>
      </c>
      <c r="N10" s="2"/>
      <c r="O10" s="2"/>
      <c r="P10" s="2"/>
      <c r="Q10" s="2"/>
      <c r="R10" s="2"/>
    </row>
    <row r="11" spans="2:18" ht="15">
      <c r="B11" s="5" t="s">
        <v>0</v>
      </c>
      <c r="C11" s="9">
        <f>C10</f>
        <v>-80000</v>
      </c>
      <c r="D11" s="9">
        <f aca="true" t="shared" si="2" ref="D11:M11">D10</f>
        <v>0</v>
      </c>
      <c r="E11" s="9">
        <f t="shared" si="2"/>
        <v>0</v>
      </c>
      <c r="F11" s="9">
        <f t="shared" si="2"/>
        <v>0</v>
      </c>
      <c r="G11" s="9">
        <f>G10</f>
        <v>0</v>
      </c>
      <c r="H11" s="9">
        <f>H10</f>
        <v>0</v>
      </c>
      <c r="I11" s="9">
        <f>I10</f>
        <v>0</v>
      </c>
      <c r="J11" s="9">
        <f>J10</f>
        <v>-80000</v>
      </c>
      <c r="K11" s="9">
        <f t="shared" si="2"/>
        <v>-80000</v>
      </c>
      <c r="L11" s="9">
        <f t="shared" si="2"/>
        <v>-80000</v>
      </c>
      <c r="M11" s="9">
        <f t="shared" si="2"/>
        <v>-80000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65</v>
      </c>
      <c r="C13" s="9">
        <f aca="true" t="shared" si="3" ref="C13:M13">C8+C11</f>
        <v>-78700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>G8+G11</f>
        <v>0</v>
      </c>
      <c r="H13" s="9">
        <f>H8+H11</f>
        <v>0</v>
      </c>
      <c r="I13" s="9">
        <f>I8+I11</f>
        <v>0</v>
      </c>
      <c r="J13" s="9">
        <f>J8+J11</f>
        <v>-78700</v>
      </c>
      <c r="K13" s="9">
        <f t="shared" si="3"/>
        <v>-78700</v>
      </c>
      <c r="L13" s="9">
        <f t="shared" si="3"/>
        <v>-78700</v>
      </c>
      <c r="M13" s="9">
        <f t="shared" si="3"/>
        <v>-78700</v>
      </c>
      <c r="N13" s="2"/>
      <c r="O13" s="2"/>
      <c r="P13" s="2"/>
      <c r="Q13" s="2"/>
      <c r="R13" s="2"/>
    </row>
    <row r="15" ht="15">
      <c r="B15" s="1"/>
    </row>
    <row r="16" ht="15">
      <c r="B16" s="19"/>
    </row>
    <row r="17" ht="15">
      <c r="B17" s="21"/>
    </row>
    <row r="18" ht="15">
      <c r="B18" s="2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zoomScalePageLayoutView="0" workbookViewId="0" topLeftCell="A6">
      <selection activeCell="A19" sqref="A19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26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0</v>
      </c>
      <c r="D5" s="12">
        <v>0</v>
      </c>
      <c r="E5" s="12">
        <v>171</v>
      </c>
      <c r="F5" s="12">
        <v>120</v>
      </c>
      <c r="G5" s="12"/>
      <c r="H5" s="12">
        <f>E5+F5-D5</f>
        <v>291</v>
      </c>
      <c r="I5" s="12"/>
      <c r="J5" s="12">
        <v>1345</v>
      </c>
      <c r="K5" s="12">
        <f>J5*1.03</f>
        <v>1385.3500000000001</v>
      </c>
      <c r="L5" s="12">
        <f>K5*1.03</f>
        <v>1426.9105000000002</v>
      </c>
      <c r="M5" s="12">
        <f>L5*1.03</f>
        <v>1469.7178150000002</v>
      </c>
      <c r="N5" s="2"/>
      <c r="O5" s="2"/>
      <c r="P5" s="2"/>
      <c r="Q5" s="2"/>
      <c r="R5" s="2"/>
    </row>
    <row r="6" spans="2:18" ht="15">
      <c r="B6" s="5" t="s">
        <v>71</v>
      </c>
      <c r="C6" s="9">
        <f aca="true" t="shared" si="0" ref="C6:M6">SUM(C5:C5)</f>
        <v>0</v>
      </c>
      <c r="D6" s="9">
        <f t="shared" si="0"/>
        <v>0</v>
      </c>
      <c r="E6" s="9">
        <f t="shared" si="0"/>
        <v>171</v>
      </c>
      <c r="F6" s="9">
        <f t="shared" si="0"/>
        <v>120</v>
      </c>
      <c r="G6" s="9"/>
      <c r="H6" s="9">
        <f t="shared" si="0"/>
        <v>291</v>
      </c>
      <c r="I6" s="9"/>
      <c r="J6" s="9">
        <f>SUM(J5:J5)</f>
        <v>1345</v>
      </c>
      <c r="K6" s="9">
        <f t="shared" si="0"/>
        <v>1385.3500000000001</v>
      </c>
      <c r="L6" s="9">
        <f t="shared" si="0"/>
        <v>1426.9105000000002</v>
      </c>
      <c r="M6" s="9">
        <f t="shared" si="0"/>
        <v>1469.7178150000002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61</v>
      </c>
      <c r="C8" s="12">
        <v>2400</v>
      </c>
      <c r="D8" s="12">
        <v>2400</v>
      </c>
      <c r="E8" s="9"/>
      <c r="F8" s="9"/>
      <c r="G8" s="9"/>
      <c r="H8" s="12">
        <f>E8+F8-D8</f>
        <v>-2400</v>
      </c>
      <c r="I8" s="12"/>
      <c r="J8" s="12">
        <v>0</v>
      </c>
      <c r="K8" s="12">
        <v>0</v>
      </c>
      <c r="L8" s="12">
        <v>0</v>
      </c>
      <c r="M8" s="12">
        <v>0</v>
      </c>
      <c r="N8" s="2"/>
      <c r="O8" s="2"/>
      <c r="P8" s="2"/>
      <c r="Q8" s="2"/>
      <c r="R8" s="2"/>
    </row>
    <row r="9" spans="2:18" ht="15">
      <c r="B9" s="5" t="s">
        <v>79</v>
      </c>
      <c r="C9" s="9">
        <f aca="true" t="shared" si="1" ref="C9:M9">SUM(C8:C8)</f>
        <v>2400</v>
      </c>
      <c r="D9" s="9">
        <f t="shared" si="1"/>
        <v>2400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-2400</v>
      </c>
      <c r="I9" s="9">
        <f t="shared" si="1"/>
        <v>0</v>
      </c>
      <c r="J9" s="9">
        <f>SUM(J8:J8)</f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2"/>
      <c r="O9" s="2"/>
      <c r="P9" s="2"/>
      <c r="Q9" s="2"/>
      <c r="R9" s="2"/>
    </row>
    <row r="10" spans="2:18" ht="15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2"/>
      <c r="Q10" s="2"/>
      <c r="R10" s="2"/>
    </row>
    <row r="11" spans="2:18" ht="15">
      <c r="B11" s="5" t="s">
        <v>114</v>
      </c>
      <c r="C11" s="9">
        <v>290000</v>
      </c>
      <c r="D11" s="9">
        <f>E11+F11</f>
        <v>136005.84791386273</v>
      </c>
      <c r="E11" s="9">
        <v>90215</v>
      </c>
      <c r="F11" s="9">
        <v>45790.847913862715</v>
      </c>
      <c r="G11" s="9">
        <f>J11-F11-E11</f>
        <v>117894.15208613727</v>
      </c>
      <c r="H11" s="9">
        <f>E11+F11-D11</f>
        <v>0</v>
      </c>
      <c r="I11" s="9">
        <v>18042.960969044412</v>
      </c>
      <c r="J11" s="9">
        <v>253900</v>
      </c>
      <c r="K11" s="9">
        <f>J11*1.035</f>
        <v>262786.5</v>
      </c>
      <c r="L11" s="9">
        <f>K11*1.03</f>
        <v>270670.09500000003</v>
      </c>
      <c r="M11" s="9">
        <f>L11*1.03</f>
        <v>278790.19785000006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62</v>
      </c>
      <c r="C13" s="9">
        <f>C6+C9+C11</f>
        <v>292400</v>
      </c>
      <c r="D13" s="9">
        <f aca="true" t="shared" si="2" ref="D13:M13">D6+D9+D11</f>
        <v>138405.84791386273</v>
      </c>
      <c r="E13" s="9">
        <f t="shared" si="2"/>
        <v>90386</v>
      </c>
      <c r="F13" s="9">
        <f t="shared" si="2"/>
        <v>45910.847913862715</v>
      </c>
      <c r="G13" s="9">
        <f>G6+G9+G11</f>
        <v>117894.15208613727</v>
      </c>
      <c r="H13" s="9">
        <f t="shared" si="2"/>
        <v>-2109</v>
      </c>
      <c r="I13" s="9">
        <f>I6+I9+I11</f>
        <v>18042.960969044412</v>
      </c>
      <c r="J13" s="9">
        <f>J6+J9+J11</f>
        <v>255245</v>
      </c>
      <c r="K13" s="9">
        <f t="shared" si="2"/>
        <v>264171.85</v>
      </c>
      <c r="L13" s="9">
        <f t="shared" si="2"/>
        <v>272097.0055</v>
      </c>
      <c r="M13" s="9">
        <f t="shared" si="2"/>
        <v>280259.91566500004</v>
      </c>
      <c r="N13" s="2"/>
      <c r="O13" s="2"/>
      <c r="P13" s="2"/>
      <c r="Q13" s="2"/>
      <c r="R13" s="2"/>
    </row>
    <row r="14" spans="2:18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"/>
      <c r="O14" s="2"/>
      <c r="P14" s="2"/>
      <c r="Q14" s="2"/>
      <c r="R14" s="2"/>
    </row>
    <row r="15" spans="2:18" ht="15">
      <c r="B15" s="5" t="s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E15+F15+G15-D15</f>
        <v>0</v>
      </c>
      <c r="I15" s="9">
        <v>0</v>
      </c>
      <c r="J15" s="9">
        <v>0</v>
      </c>
      <c r="K15" s="9">
        <f>F15+H15-E15</f>
        <v>0</v>
      </c>
      <c r="L15" s="9">
        <f>H15+K15-F15</f>
        <v>0</v>
      </c>
      <c r="M15" s="9">
        <f>K15+L15-H15</f>
        <v>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3" ref="C17:M17">C13+C15</f>
        <v>292400</v>
      </c>
      <c r="D17" s="9">
        <f t="shared" si="3"/>
        <v>138405.84791386273</v>
      </c>
      <c r="E17" s="9">
        <f t="shared" si="3"/>
        <v>90386</v>
      </c>
      <c r="F17" s="9">
        <f t="shared" si="3"/>
        <v>45910.847913862715</v>
      </c>
      <c r="G17" s="9">
        <f>G13+G15</f>
        <v>117894.15208613727</v>
      </c>
      <c r="H17" s="9">
        <f t="shared" si="3"/>
        <v>-2109</v>
      </c>
      <c r="I17" s="9">
        <f>I13+I15</f>
        <v>18042.960969044412</v>
      </c>
      <c r="J17" s="9">
        <f>J13+J15</f>
        <v>255245</v>
      </c>
      <c r="K17" s="9">
        <f t="shared" si="3"/>
        <v>264171.85</v>
      </c>
      <c r="L17" s="9">
        <f t="shared" si="3"/>
        <v>272097.0055</v>
      </c>
      <c r="M17" s="9">
        <f t="shared" si="3"/>
        <v>280259.91566500004</v>
      </c>
      <c r="N17" s="2"/>
      <c r="O17" s="2"/>
      <c r="P17" s="2"/>
      <c r="Q17" s="2"/>
      <c r="R17" s="2"/>
    </row>
    <row r="19" ht="15">
      <c r="B19" s="23"/>
    </row>
    <row r="20" ht="15">
      <c r="B20" s="19"/>
    </row>
    <row r="21" ht="15">
      <c r="B21" s="19"/>
    </row>
    <row r="22" ht="15">
      <c r="B22" s="19"/>
    </row>
    <row r="23" ht="15">
      <c r="B23" s="2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0"/>
  <sheetViews>
    <sheetView zoomScalePageLayoutView="0" workbookViewId="0" topLeftCell="A1">
      <selection activeCell="U10" sqref="U10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184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70</v>
      </c>
      <c r="C5" s="12">
        <v>1100</v>
      </c>
      <c r="D5" s="9"/>
      <c r="E5" s="9"/>
      <c r="F5" s="9"/>
      <c r="G5" s="9"/>
      <c r="H5" s="12">
        <f>E5+F5-D5</f>
        <v>0</v>
      </c>
      <c r="I5" s="12"/>
      <c r="J5" s="12">
        <v>1100</v>
      </c>
      <c r="K5" s="12">
        <f>J5*1.03</f>
        <v>1133</v>
      </c>
      <c r="L5" s="12">
        <f>K5*1.03</f>
        <v>1166.99</v>
      </c>
      <c r="M5" s="12">
        <f>L5*1.03</f>
        <v>1201.9997</v>
      </c>
      <c r="N5" s="2"/>
      <c r="O5" s="2"/>
      <c r="P5" s="2"/>
      <c r="Q5" s="2"/>
      <c r="R5" s="2"/>
    </row>
    <row r="6" spans="2:18" ht="15">
      <c r="B6" s="5" t="s">
        <v>71</v>
      </c>
      <c r="C6" s="9">
        <f aca="true" t="shared" si="0" ref="C6:M6">SUM(C5:C5)</f>
        <v>1100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>SUM(G5:G5)</f>
        <v>0</v>
      </c>
      <c r="H6" s="9">
        <f t="shared" si="0"/>
        <v>0</v>
      </c>
      <c r="I6" s="9">
        <f>SUM(I5:I5)</f>
        <v>0</v>
      </c>
      <c r="J6" s="9">
        <f>SUM(J5:J5)</f>
        <v>1100</v>
      </c>
      <c r="K6" s="9">
        <f t="shared" si="0"/>
        <v>1133</v>
      </c>
      <c r="L6" s="9">
        <f t="shared" si="0"/>
        <v>1166.99</v>
      </c>
      <c r="M6" s="9">
        <f t="shared" si="0"/>
        <v>1201.9997</v>
      </c>
      <c r="N6" s="2"/>
      <c r="O6" s="2"/>
      <c r="P6" s="2"/>
      <c r="Q6" s="2"/>
      <c r="R6" s="2"/>
    </row>
    <row r="7" spans="2:18" ht="15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"/>
      <c r="O7" s="2"/>
      <c r="P7" s="2"/>
      <c r="Q7" s="2"/>
      <c r="R7" s="2"/>
    </row>
    <row r="8" spans="2:18" ht="15">
      <c r="B8" s="6" t="s">
        <v>185</v>
      </c>
      <c r="C8" s="12">
        <v>0</v>
      </c>
      <c r="D8" s="12"/>
      <c r="E8" s="12"/>
      <c r="F8" s="12"/>
      <c r="G8" s="12"/>
      <c r="H8" s="12"/>
      <c r="I8" s="12"/>
      <c r="J8" s="12">
        <v>0</v>
      </c>
      <c r="K8" s="12">
        <v>50000</v>
      </c>
      <c r="L8" s="12">
        <v>50000</v>
      </c>
      <c r="M8" s="12">
        <v>50000</v>
      </c>
      <c r="N8" s="2"/>
      <c r="O8" s="2"/>
      <c r="P8" s="2"/>
      <c r="Q8" s="2"/>
      <c r="R8" s="2"/>
    </row>
    <row r="9" spans="2:18" ht="15">
      <c r="B9" s="6" t="s">
        <v>119</v>
      </c>
      <c r="C9" s="12">
        <v>1800</v>
      </c>
      <c r="D9" s="12">
        <v>120</v>
      </c>
      <c r="E9" s="12">
        <v>120</v>
      </c>
      <c r="F9" s="9"/>
      <c r="G9" s="9"/>
      <c r="H9" s="12">
        <f>E9+F9-D9</f>
        <v>0</v>
      </c>
      <c r="I9" s="9"/>
      <c r="J9" s="12">
        <v>1800</v>
      </c>
      <c r="K9" s="12">
        <v>1800</v>
      </c>
      <c r="L9" s="12">
        <v>1800</v>
      </c>
      <c r="M9" s="12">
        <v>1800</v>
      </c>
      <c r="N9" s="2"/>
      <c r="O9" s="2"/>
      <c r="P9" s="2"/>
      <c r="Q9" s="2"/>
      <c r="R9" s="2"/>
    </row>
    <row r="10" spans="2:18" ht="15">
      <c r="B10" s="5" t="s">
        <v>79</v>
      </c>
      <c r="C10" s="9">
        <f>SUM(C8:C9)</f>
        <v>1800</v>
      </c>
      <c r="D10" s="9">
        <f aca="true" t="shared" si="1" ref="D10:I10">SUM(D9:D9)</f>
        <v>120</v>
      </c>
      <c r="E10" s="9">
        <f t="shared" si="1"/>
        <v>120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>SUM(J8:J9)</f>
        <v>1800</v>
      </c>
      <c r="K10" s="9">
        <f>SUM(K8:K9)</f>
        <v>51800</v>
      </c>
      <c r="L10" s="9">
        <f>SUM(L8:L9)</f>
        <v>51800</v>
      </c>
      <c r="M10" s="9">
        <f>SUM(M8:M9)</f>
        <v>51800</v>
      </c>
      <c r="N10" s="2"/>
      <c r="O10" s="2"/>
      <c r="P10" s="2"/>
      <c r="Q10" s="2"/>
      <c r="R10" s="2"/>
    </row>
    <row r="11" spans="2:18" ht="15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2"/>
      <c r="Q11" s="2"/>
      <c r="R11" s="2"/>
    </row>
    <row r="12" spans="2:18" ht="15">
      <c r="B12" s="5" t="s">
        <v>62</v>
      </c>
      <c r="C12" s="9">
        <f aca="true" t="shared" si="2" ref="C12:M12">C6+C10</f>
        <v>2900</v>
      </c>
      <c r="D12" s="9">
        <f t="shared" si="2"/>
        <v>120</v>
      </c>
      <c r="E12" s="9">
        <f t="shared" si="2"/>
        <v>120</v>
      </c>
      <c r="F12" s="9">
        <f t="shared" si="2"/>
        <v>0</v>
      </c>
      <c r="G12" s="9">
        <f>G6+G10</f>
        <v>0</v>
      </c>
      <c r="H12" s="9">
        <f t="shared" si="2"/>
        <v>0</v>
      </c>
      <c r="I12" s="9">
        <f>I6+I10</f>
        <v>0</v>
      </c>
      <c r="J12" s="9">
        <f t="shared" si="2"/>
        <v>2900</v>
      </c>
      <c r="K12" s="9">
        <f t="shared" si="2"/>
        <v>52933</v>
      </c>
      <c r="L12" s="9">
        <f t="shared" si="2"/>
        <v>52966.99</v>
      </c>
      <c r="M12" s="9">
        <f t="shared" si="2"/>
        <v>53001.9997</v>
      </c>
      <c r="N12" s="2"/>
      <c r="O12" s="2"/>
      <c r="P12" s="2"/>
      <c r="Q12" s="2"/>
      <c r="R12" s="2"/>
    </row>
    <row r="13" spans="2:18" ht="15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"/>
      <c r="O13" s="2"/>
      <c r="P13" s="2"/>
      <c r="Q13" s="2"/>
      <c r="R13" s="2"/>
    </row>
    <row r="14" spans="2:18" ht="15">
      <c r="B14" s="6" t="s">
        <v>80</v>
      </c>
      <c r="C14" s="12">
        <v>-5300</v>
      </c>
      <c r="D14" s="9"/>
      <c r="E14" s="9"/>
      <c r="F14" s="9"/>
      <c r="G14" s="9"/>
      <c r="H14" s="12">
        <f>E14+F14-D14</f>
        <v>0</v>
      </c>
      <c r="I14" s="9"/>
      <c r="J14" s="12">
        <v>-5300</v>
      </c>
      <c r="K14" s="12">
        <v>-5300</v>
      </c>
      <c r="L14" s="12">
        <v>-5300</v>
      </c>
      <c r="M14" s="12">
        <v>-5300</v>
      </c>
      <c r="N14" s="2"/>
      <c r="O14" s="2"/>
      <c r="P14" s="2"/>
      <c r="Q14" s="2"/>
      <c r="R14" s="2"/>
    </row>
    <row r="15" spans="2:18" ht="15">
      <c r="B15" s="5" t="s">
        <v>0</v>
      </c>
      <c r="C15" s="9">
        <f>C14</f>
        <v>-5300</v>
      </c>
      <c r="D15" s="9">
        <f aca="true" t="shared" si="3" ref="D15:M15">D14</f>
        <v>0</v>
      </c>
      <c r="E15" s="9">
        <f t="shared" si="3"/>
        <v>0</v>
      </c>
      <c r="F15" s="9">
        <f t="shared" si="3"/>
        <v>0</v>
      </c>
      <c r="G15" s="9">
        <f>G14</f>
        <v>0</v>
      </c>
      <c r="H15" s="9">
        <f t="shared" si="3"/>
        <v>0</v>
      </c>
      <c r="I15" s="9">
        <f>I14</f>
        <v>0</v>
      </c>
      <c r="J15" s="9">
        <f>J14</f>
        <v>-5300</v>
      </c>
      <c r="K15" s="9">
        <f t="shared" si="3"/>
        <v>-5300</v>
      </c>
      <c r="L15" s="9">
        <f t="shared" si="3"/>
        <v>-5300</v>
      </c>
      <c r="M15" s="9">
        <f t="shared" si="3"/>
        <v>-5300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15">
      <c r="B17" s="5" t="s">
        <v>65</v>
      </c>
      <c r="C17" s="9">
        <f aca="true" t="shared" si="4" ref="C17:M17">C12+C15</f>
        <v>-2400</v>
      </c>
      <c r="D17" s="9">
        <f t="shared" si="4"/>
        <v>120</v>
      </c>
      <c r="E17" s="9">
        <f t="shared" si="4"/>
        <v>120</v>
      </c>
      <c r="F17" s="9">
        <f t="shared" si="4"/>
        <v>0</v>
      </c>
      <c r="G17" s="9">
        <f>G12+G15</f>
        <v>0</v>
      </c>
      <c r="H17" s="9">
        <f t="shared" si="4"/>
        <v>0</v>
      </c>
      <c r="I17" s="9">
        <f>I12+I15</f>
        <v>0</v>
      </c>
      <c r="J17" s="9">
        <f>J12+J15</f>
        <v>-2400</v>
      </c>
      <c r="K17" s="9">
        <f t="shared" si="4"/>
        <v>47633</v>
      </c>
      <c r="L17" s="9">
        <f t="shared" si="4"/>
        <v>47666.99</v>
      </c>
      <c r="M17" s="9">
        <f t="shared" si="4"/>
        <v>47701.9997</v>
      </c>
      <c r="N17" s="2"/>
      <c r="O17" s="2"/>
      <c r="P17" s="2"/>
      <c r="Q17" s="2"/>
      <c r="R17" s="2"/>
    </row>
    <row r="19" ht="15">
      <c r="B19" s="1"/>
    </row>
    <row r="20" ht="15">
      <c r="B20" s="1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6"/>
  <sheetViews>
    <sheetView tabSelected="1" zoomScale="80" zoomScaleNormal="80" zoomScalePageLayoutView="0" workbookViewId="0" topLeftCell="A1">
      <selection activeCell="K32" sqref="K32"/>
    </sheetView>
  </sheetViews>
  <sheetFormatPr defaultColWidth="9.140625" defaultRowHeight="15"/>
  <cols>
    <col min="2" max="2" width="44.7109375" style="0" customWidth="1"/>
    <col min="3" max="3" width="13.7109375" style="0" customWidth="1"/>
    <col min="4" max="9" width="13.7109375" style="0" hidden="1" customWidth="1"/>
    <col min="10" max="13" width="13.7109375" style="0" customWidth="1"/>
    <col min="14" max="18" width="13.7109375" style="0" hidden="1" customWidth="1"/>
  </cols>
  <sheetData>
    <row r="2" spans="2:20" ht="30">
      <c r="B2" s="5" t="s">
        <v>7</v>
      </c>
      <c r="C2" s="13" t="s">
        <v>73</v>
      </c>
      <c r="D2" s="13" t="s">
        <v>74</v>
      </c>
      <c r="E2" s="13" t="s">
        <v>75</v>
      </c>
      <c r="F2" s="3" t="s">
        <v>116</v>
      </c>
      <c r="G2" s="3" t="s">
        <v>123</v>
      </c>
      <c r="H2" s="3" t="s">
        <v>76</v>
      </c>
      <c r="I2" s="3" t="s">
        <v>124</v>
      </c>
      <c r="J2" s="13" t="s">
        <v>111</v>
      </c>
      <c r="K2" s="13" t="s">
        <v>136</v>
      </c>
      <c r="L2" s="13" t="s">
        <v>77</v>
      </c>
      <c r="M2" s="13" t="s">
        <v>78</v>
      </c>
      <c r="N2" s="1" t="s">
        <v>1</v>
      </c>
      <c r="O2" s="1" t="s">
        <v>2</v>
      </c>
      <c r="P2" s="1" t="s">
        <v>3</v>
      </c>
      <c r="Q2" s="1" t="s">
        <v>6</v>
      </c>
      <c r="R2" s="1" t="s">
        <v>4</v>
      </c>
      <c r="T2" s="1"/>
    </row>
    <row r="3" spans="2:20" ht="15">
      <c r="B3" s="27" t="str">
        <f>'Summary Net'!B3</f>
        <v>January 2018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3" t="s">
        <v>5</v>
      </c>
      <c r="K3" s="13" t="s">
        <v>5</v>
      </c>
      <c r="L3" s="13" t="s">
        <v>5</v>
      </c>
      <c r="M3" s="13" t="s">
        <v>5</v>
      </c>
      <c r="N3" s="1"/>
      <c r="O3" s="1"/>
      <c r="P3" s="1"/>
      <c r="Q3" s="1"/>
      <c r="R3" s="1"/>
      <c r="T3" s="1"/>
    </row>
    <row r="4" spans="2:18" ht="15"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2"/>
    </row>
    <row r="5" spans="2:18" ht="15">
      <c r="B5" s="6" t="s">
        <v>193</v>
      </c>
      <c r="C5" s="12">
        <v>0</v>
      </c>
      <c r="D5" s="12"/>
      <c r="E5" s="12"/>
      <c r="F5" s="12"/>
      <c r="G5" s="12"/>
      <c r="H5" s="12"/>
      <c r="I5" s="12"/>
      <c r="J5" s="12">
        <v>15000</v>
      </c>
      <c r="K5" s="12">
        <v>0</v>
      </c>
      <c r="L5" s="12">
        <v>0</v>
      </c>
      <c r="M5" s="12">
        <v>0</v>
      </c>
      <c r="N5" s="2"/>
      <c r="O5" s="2"/>
      <c r="P5" s="2"/>
      <c r="Q5" s="2"/>
      <c r="R5" s="2"/>
    </row>
    <row r="6" spans="2:18" ht="15">
      <c r="B6" s="6" t="s">
        <v>81</v>
      </c>
      <c r="C6" s="12">
        <v>5100</v>
      </c>
      <c r="D6" s="12">
        <v>207</v>
      </c>
      <c r="E6" s="12">
        <v>207</v>
      </c>
      <c r="F6" s="12"/>
      <c r="G6" s="12"/>
      <c r="H6" s="12">
        <f>E6+F6-D6</f>
        <v>0</v>
      </c>
      <c r="I6" s="12"/>
      <c r="J6" s="12">
        <v>5100</v>
      </c>
      <c r="K6" s="12">
        <v>10000</v>
      </c>
      <c r="L6" s="12">
        <v>10000</v>
      </c>
      <c r="M6" s="12">
        <v>10000</v>
      </c>
      <c r="N6" s="2"/>
      <c r="O6" s="2"/>
      <c r="P6" s="2"/>
      <c r="Q6" s="2"/>
      <c r="R6" s="2"/>
    </row>
    <row r="7" spans="2:18" ht="15">
      <c r="B7" s="6" t="s">
        <v>215</v>
      </c>
      <c r="C7" s="12">
        <v>0</v>
      </c>
      <c r="D7" s="12"/>
      <c r="E7" s="12"/>
      <c r="F7" s="12"/>
      <c r="G7" s="12"/>
      <c r="H7" s="12"/>
      <c r="I7" s="12"/>
      <c r="J7" s="12">
        <v>0</v>
      </c>
      <c r="K7" s="113">
        <v>12617</v>
      </c>
      <c r="L7" s="113">
        <v>15140</v>
      </c>
      <c r="M7" s="113">
        <v>15140</v>
      </c>
      <c r="N7" s="2"/>
      <c r="O7" s="2"/>
      <c r="P7" s="2"/>
      <c r="Q7" s="2"/>
      <c r="R7" s="2"/>
    </row>
    <row r="8" spans="2:18" ht="15">
      <c r="B8" s="5" t="s">
        <v>71</v>
      </c>
      <c r="C8" s="9">
        <f>SUM(C5:C7)</f>
        <v>5100</v>
      </c>
      <c r="D8" s="9">
        <f aca="true" t="shared" si="0" ref="D8:I8">SUM(D6:D6)</f>
        <v>207</v>
      </c>
      <c r="E8" s="9">
        <f t="shared" si="0"/>
        <v>207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>SUM(J5:J7)</f>
        <v>20100</v>
      </c>
      <c r="K8" s="9">
        <f>SUM(K5:K7)</f>
        <v>22617</v>
      </c>
      <c r="L8" s="9">
        <f>SUM(L5:L7)</f>
        <v>25140</v>
      </c>
      <c r="M8" s="9">
        <f>SUM(M5:M7)</f>
        <v>25140</v>
      </c>
      <c r="N8" s="2"/>
      <c r="O8" s="2"/>
      <c r="P8" s="2"/>
      <c r="Q8" s="2"/>
      <c r="R8" s="2"/>
    </row>
    <row r="9" spans="2:18" ht="15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"/>
      <c r="O9" s="2"/>
      <c r="P9" s="2"/>
      <c r="Q9" s="2"/>
      <c r="R9" s="2"/>
    </row>
    <row r="10" spans="2:18" ht="15">
      <c r="B10" s="6" t="s">
        <v>61</v>
      </c>
      <c r="C10" s="12">
        <v>4000</v>
      </c>
      <c r="D10" s="12">
        <v>4000</v>
      </c>
      <c r="E10" s="9"/>
      <c r="F10" s="9"/>
      <c r="G10" s="9"/>
      <c r="H10" s="12">
        <f>E10+F10-D10</f>
        <v>-4000</v>
      </c>
      <c r="I10" s="9"/>
      <c r="J10" s="12">
        <v>0</v>
      </c>
      <c r="K10" s="12">
        <v>0</v>
      </c>
      <c r="L10" s="12">
        <v>0</v>
      </c>
      <c r="M10" s="12">
        <v>0</v>
      </c>
      <c r="N10" s="2"/>
      <c r="O10" s="2"/>
      <c r="P10" s="2"/>
      <c r="Q10" s="2"/>
      <c r="R10" s="2"/>
    </row>
    <row r="11" spans="2:18" ht="15">
      <c r="B11" s="5" t="s">
        <v>79</v>
      </c>
      <c r="C11" s="9">
        <f aca="true" t="shared" si="1" ref="C11:M11">SUM(C10:C10)</f>
        <v>4000</v>
      </c>
      <c r="D11" s="9">
        <f t="shared" si="1"/>
        <v>4000</v>
      </c>
      <c r="E11" s="9">
        <f t="shared" si="1"/>
        <v>0</v>
      </c>
      <c r="F11" s="9">
        <f t="shared" si="1"/>
        <v>0</v>
      </c>
      <c r="G11" s="9">
        <f>SUM(G10:G10)</f>
        <v>0</v>
      </c>
      <c r="H11" s="9">
        <f t="shared" si="1"/>
        <v>-4000</v>
      </c>
      <c r="I11" s="9">
        <f>SUM(I10:I10)</f>
        <v>0</v>
      </c>
      <c r="J11" s="9">
        <f>SUM(J10:J10)</f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  <c r="N11" s="2"/>
      <c r="O11" s="2"/>
      <c r="P11" s="2"/>
      <c r="Q11" s="2"/>
      <c r="R11" s="2"/>
    </row>
    <row r="12" spans="2:18" ht="15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"/>
      <c r="O12" s="2"/>
      <c r="P12" s="2"/>
      <c r="Q12" s="2"/>
      <c r="R12" s="2"/>
    </row>
    <row r="13" spans="2:18" ht="15">
      <c r="B13" s="5" t="s">
        <v>122</v>
      </c>
      <c r="C13" s="9">
        <v>150000</v>
      </c>
      <c r="D13" s="9">
        <v>150000</v>
      </c>
      <c r="E13" s="9">
        <v>0</v>
      </c>
      <c r="F13" s="9">
        <v>150000</v>
      </c>
      <c r="G13" s="9">
        <v>0</v>
      </c>
      <c r="H13" s="9">
        <f>E13+F13-D13</f>
        <v>0</v>
      </c>
      <c r="I13" s="9">
        <v>0</v>
      </c>
      <c r="J13" s="9">
        <v>150000</v>
      </c>
      <c r="K13" s="9">
        <v>150000</v>
      </c>
      <c r="L13" s="9">
        <v>150000</v>
      </c>
      <c r="M13" s="9">
        <v>150000</v>
      </c>
      <c r="N13" s="2"/>
      <c r="O13" s="2"/>
      <c r="P13" s="2"/>
      <c r="Q13" s="2"/>
      <c r="R13" s="2"/>
    </row>
    <row r="14" spans="2:18" ht="15">
      <c r="B14" s="5" t="s">
        <v>217</v>
      </c>
      <c r="C14" s="9"/>
      <c r="D14" s="9"/>
      <c r="E14" s="9"/>
      <c r="F14" s="9"/>
      <c r="G14" s="9"/>
      <c r="H14" s="9"/>
      <c r="I14" s="9"/>
      <c r="J14" s="9"/>
      <c r="K14" s="9">
        <v>4050</v>
      </c>
      <c r="L14" s="9">
        <v>4860</v>
      </c>
      <c r="M14" s="9">
        <v>4860</v>
      </c>
      <c r="N14" s="2"/>
      <c r="O14" s="2"/>
      <c r="P14" s="2"/>
      <c r="Q14" s="2"/>
      <c r="R14" s="2"/>
    </row>
    <row r="15" spans="2:18" ht="15">
      <c r="B15" s="5" t="s">
        <v>62</v>
      </c>
      <c r="C15" s="9">
        <f>C8+C11+C13+C14</f>
        <v>159100</v>
      </c>
      <c r="D15" s="9">
        <f aca="true" t="shared" si="2" ref="D15:I15">D8+D11+D13</f>
        <v>154207</v>
      </c>
      <c r="E15" s="9">
        <f t="shared" si="2"/>
        <v>207</v>
      </c>
      <c r="F15" s="9">
        <f t="shared" si="2"/>
        <v>150000</v>
      </c>
      <c r="G15" s="9">
        <f t="shared" si="2"/>
        <v>0</v>
      </c>
      <c r="H15" s="9">
        <f t="shared" si="2"/>
        <v>-4000</v>
      </c>
      <c r="I15" s="9">
        <f t="shared" si="2"/>
        <v>0</v>
      </c>
      <c r="J15" s="9">
        <f>J8+J11+J13+J14</f>
        <v>170100</v>
      </c>
      <c r="K15" s="9">
        <f>K8+K11+K13+K14</f>
        <v>176667</v>
      </c>
      <c r="L15" s="9">
        <f>L8+L11+L13+L14</f>
        <v>180000</v>
      </c>
      <c r="M15" s="9">
        <f>M8+M11+M13+M14</f>
        <v>180000</v>
      </c>
      <c r="N15" s="2"/>
      <c r="O15" s="2"/>
      <c r="P15" s="2"/>
      <c r="Q15" s="2"/>
      <c r="R15" s="2"/>
    </row>
    <row r="16" spans="2:18" ht="15"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"/>
      <c r="O16" s="2"/>
      <c r="P16" s="2"/>
      <c r="Q16" s="2"/>
      <c r="R16" s="2"/>
    </row>
    <row r="17" spans="2:18" ht="30">
      <c r="B17" s="114" t="s">
        <v>216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f>E17+F17+G17-D17</f>
        <v>0</v>
      </c>
      <c r="I17" s="9">
        <v>0</v>
      </c>
      <c r="J17" s="9">
        <v>0</v>
      </c>
      <c r="K17" s="9">
        <v>-16667</v>
      </c>
      <c r="L17" s="9">
        <v>-20000</v>
      </c>
      <c r="M17" s="9">
        <v>-20000</v>
      </c>
      <c r="N17" s="2"/>
      <c r="O17" s="2"/>
      <c r="P17" s="2"/>
      <c r="Q17" s="2"/>
      <c r="R17" s="2"/>
    </row>
    <row r="18" spans="2:18" ht="15">
      <c r="B18" s="5" t="s">
        <v>0</v>
      </c>
      <c r="C18" s="9">
        <f>C17</f>
        <v>0</v>
      </c>
      <c r="D18" s="9">
        <v>0</v>
      </c>
      <c r="E18" s="9">
        <v>0</v>
      </c>
      <c r="F18" s="9">
        <v>0</v>
      </c>
      <c r="G18" s="9">
        <v>0</v>
      </c>
      <c r="H18" s="12">
        <f>E18+F18+G18-D18</f>
        <v>0</v>
      </c>
      <c r="I18" s="9">
        <v>0</v>
      </c>
      <c r="J18" s="9">
        <f>J17</f>
        <v>0</v>
      </c>
      <c r="K18" s="9">
        <f>K17</f>
        <v>-16667</v>
      </c>
      <c r="L18" s="9">
        <f>L17</f>
        <v>-20000</v>
      </c>
      <c r="M18" s="9">
        <f>M17</f>
        <v>-20000</v>
      </c>
      <c r="N18" s="2"/>
      <c r="O18" s="2"/>
      <c r="P18" s="2"/>
      <c r="Q18" s="2"/>
      <c r="R18" s="2"/>
    </row>
    <row r="19" spans="2:13" ht="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15">
      <c r="B20" s="5" t="s">
        <v>65</v>
      </c>
      <c r="C20" s="9">
        <f aca="true" t="shared" si="3" ref="C20:M20">C15+C18</f>
        <v>159100</v>
      </c>
      <c r="D20" s="9">
        <f t="shared" si="3"/>
        <v>154207</v>
      </c>
      <c r="E20" s="9">
        <f t="shared" si="3"/>
        <v>207</v>
      </c>
      <c r="F20" s="9">
        <f t="shared" si="3"/>
        <v>150000</v>
      </c>
      <c r="G20" s="9">
        <f t="shared" si="3"/>
        <v>0</v>
      </c>
      <c r="H20" s="9">
        <f t="shared" si="3"/>
        <v>-4000</v>
      </c>
      <c r="I20" s="9">
        <f t="shared" si="3"/>
        <v>0</v>
      </c>
      <c r="J20" s="9">
        <f t="shared" si="3"/>
        <v>170100</v>
      </c>
      <c r="K20" s="9">
        <f t="shared" si="3"/>
        <v>160000</v>
      </c>
      <c r="L20" s="9">
        <f t="shared" si="3"/>
        <v>160000</v>
      </c>
      <c r="M20" s="9">
        <f t="shared" si="3"/>
        <v>160000</v>
      </c>
    </row>
    <row r="22" ht="15">
      <c r="B22" s="23"/>
    </row>
    <row r="23" spans="2:10" ht="15">
      <c r="B23" s="115" t="s">
        <v>214</v>
      </c>
      <c r="C23" s="46"/>
      <c r="D23" s="46"/>
      <c r="E23" s="46"/>
      <c r="F23" s="46"/>
      <c r="G23" s="46"/>
      <c r="H23" s="46"/>
      <c r="I23" s="46"/>
      <c r="J23" s="46"/>
    </row>
    <row r="24" spans="2:10" ht="15">
      <c r="B24" s="46" t="s">
        <v>218</v>
      </c>
      <c r="C24" s="46"/>
      <c r="D24" s="46"/>
      <c r="E24" s="46"/>
      <c r="F24" s="46"/>
      <c r="G24" s="46"/>
      <c r="H24" s="46"/>
      <c r="I24" s="46"/>
      <c r="J24" s="46"/>
    </row>
    <row r="25" spans="2:10" ht="15">
      <c r="B25" s="46" t="s">
        <v>227</v>
      </c>
      <c r="C25" s="46"/>
      <c r="D25" s="46"/>
      <c r="E25" s="46"/>
      <c r="F25" s="46"/>
      <c r="G25" s="46"/>
      <c r="H25" s="46"/>
      <c r="I25" s="46"/>
      <c r="J25" s="46"/>
    </row>
    <row r="26" spans="2:10" ht="15">
      <c r="B26" s="46" t="s">
        <v>219</v>
      </c>
      <c r="C26" s="46"/>
      <c r="D26" s="46"/>
      <c r="E26" s="46"/>
      <c r="F26" s="46"/>
      <c r="G26" s="46"/>
      <c r="H26" s="46"/>
      <c r="I26" s="46"/>
      <c r="J26" s="46"/>
    </row>
    <row r="27" spans="2:10" ht="15">
      <c r="B27" s="46" t="s">
        <v>220</v>
      </c>
      <c r="C27" s="46"/>
      <c r="D27" s="46"/>
      <c r="E27" s="46"/>
      <c r="F27" s="46"/>
      <c r="G27" s="46"/>
      <c r="H27" s="46"/>
      <c r="I27" s="46"/>
      <c r="J27" s="46"/>
    </row>
    <row r="28" spans="2:10" ht="15">
      <c r="B28" s="46" t="s">
        <v>221</v>
      </c>
      <c r="C28" s="46"/>
      <c r="D28" s="46"/>
      <c r="E28" s="46"/>
      <c r="F28" s="46"/>
      <c r="G28" s="46"/>
      <c r="H28" s="46"/>
      <c r="I28" s="46"/>
      <c r="J28" s="46"/>
    </row>
    <row r="29" spans="2:10" ht="15">
      <c r="B29" s="46" t="s">
        <v>222</v>
      </c>
      <c r="C29" s="46"/>
      <c r="D29" s="46"/>
      <c r="E29" s="46"/>
      <c r="F29" s="46"/>
      <c r="G29" s="46"/>
      <c r="H29" s="46"/>
      <c r="I29" s="46"/>
      <c r="J29" s="46"/>
    </row>
    <row r="30" spans="2:10" ht="15">
      <c r="B30" s="46" t="s">
        <v>223</v>
      </c>
      <c r="C30" s="46"/>
      <c r="D30" s="46"/>
      <c r="E30" s="46"/>
      <c r="F30" s="46"/>
      <c r="G30" s="46"/>
      <c r="H30" s="46"/>
      <c r="I30" s="46"/>
      <c r="J30" s="46"/>
    </row>
    <row r="31" spans="2:10" ht="15">
      <c r="B31" s="46" t="s">
        <v>224</v>
      </c>
      <c r="C31" s="46"/>
      <c r="D31" s="46"/>
      <c r="E31" s="46"/>
      <c r="F31" s="46"/>
      <c r="G31" s="46"/>
      <c r="H31" s="46"/>
      <c r="I31" s="46"/>
      <c r="J31" s="46"/>
    </row>
    <row r="32" spans="2:10" ht="15">
      <c r="B32" s="46" t="s">
        <v>225</v>
      </c>
      <c r="C32" s="46"/>
      <c r="D32" s="46"/>
      <c r="E32" s="46"/>
      <c r="F32" s="46"/>
      <c r="G32" s="46"/>
      <c r="H32" s="46"/>
      <c r="I32" s="46"/>
      <c r="J32" s="46"/>
    </row>
    <row r="33" spans="2:10" ht="15">
      <c r="B33" s="46" t="s">
        <v>226</v>
      </c>
      <c r="C33" s="46"/>
      <c r="D33" s="46"/>
      <c r="E33" s="46"/>
      <c r="F33" s="46"/>
      <c r="G33" s="46"/>
      <c r="H33" s="46"/>
      <c r="I33" s="46"/>
      <c r="J33" s="46"/>
    </row>
    <row r="34" ht="15">
      <c r="B34" s="112"/>
    </row>
    <row r="35" ht="15">
      <c r="B35" s="112"/>
    </row>
    <row r="36" ht="15">
      <c r="B36" s="11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Mew</dc:creator>
  <cp:keywords/>
  <dc:description/>
  <cp:lastModifiedBy>Shona Bendix</cp:lastModifiedBy>
  <cp:lastPrinted>2017-10-13T08:36:06Z</cp:lastPrinted>
  <dcterms:created xsi:type="dcterms:W3CDTF">2016-03-24T10:27:23Z</dcterms:created>
  <dcterms:modified xsi:type="dcterms:W3CDTF">2018-08-03T08:39:36Z</dcterms:modified>
  <cp:category/>
  <cp:version/>
  <cp:contentType/>
  <cp:contentStatus/>
</cp:coreProperties>
</file>